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20" tabRatio="608" activeTab="0"/>
  </bookViews>
  <sheets>
    <sheet name="Summary" sheetId="1" r:id="rId1"/>
    <sheet name="Designated" sheetId="2" r:id="rId2"/>
    <sheet name="Sheet1" sheetId="3" r:id="rId3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Darlene Mattox</author>
  </authors>
  <commentList>
    <comment ref="B84" authorId="0">
      <text>
        <r>
          <rPr>
            <b/>
            <sz val="9"/>
            <rFont val="Tahoma"/>
            <family val="2"/>
          </rPr>
          <t>Darlene Mattox: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Darlene Mattox</author>
  </authors>
  <commentList>
    <comment ref="D62" authorId="0">
      <text>
        <r>
          <rPr>
            <b/>
            <sz val="9"/>
            <rFont val="Tahoma"/>
            <family val="2"/>
          </rPr>
          <t>Darlene Mattox:</t>
        </r>
        <r>
          <rPr>
            <sz val="9"/>
            <rFont val="Tahoma"/>
            <family val="2"/>
          </rPr>
          <t xml:space="preserve">
</t>
        </r>
      </text>
    </comment>
    <comment ref="D56" authorId="0">
      <text>
        <r>
          <rPr>
            <b/>
            <sz val="9"/>
            <rFont val="Tahoma"/>
            <family val="2"/>
          </rPr>
          <t>Darlene Mattox:</t>
        </r>
        <r>
          <rPr>
            <sz val="9"/>
            <rFont val="Tahoma"/>
            <family val="2"/>
          </rPr>
          <t xml:space="preserve">
</t>
        </r>
      </text>
    </comment>
    <comment ref="D63" authorId="0">
      <text>
        <r>
          <rPr>
            <b/>
            <sz val="9"/>
            <rFont val="Tahoma"/>
            <family val="2"/>
          </rPr>
          <t>Darlene Mattox: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>Darlene Mattox: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<sst xmlns="http://schemas.openxmlformats.org/spreadsheetml/2006/main" count="241" uniqueCount="143">
  <si>
    <t>Conference</t>
  </si>
  <si>
    <t>California</t>
  </si>
  <si>
    <t>Contributions</t>
  </si>
  <si>
    <t>%</t>
  </si>
  <si>
    <t>Increase</t>
  </si>
  <si>
    <t>(Decrease)</t>
  </si>
  <si>
    <t>Year</t>
  </si>
  <si>
    <t>Year to Date</t>
  </si>
  <si>
    <t xml:space="preserve">   Cooperative</t>
  </si>
  <si>
    <t xml:space="preserve">   Designated</t>
  </si>
  <si>
    <t xml:space="preserve">   Other</t>
  </si>
  <si>
    <t xml:space="preserve">   Total</t>
  </si>
  <si>
    <t>CHURCHES OF GOD, GENERAL CONFERENCE</t>
  </si>
  <si>
    <t>Contributions Received Through</t>
  </si>
  <si>
    <t>Grand Totals</t>
  </si>
  <si>
    <t>Page 2 of 2</t>
  </si>
  <si>
    <t>Page 1 of 2</t>
  </si>
  <si>
    <t>Designated Ministry</t>
  </si>
  <si>
    <t>Goal</t>
  </si>
  <si>
    <t>Full Year</t>
  </si>
  <si>
    <t>% of</t>
  </si>
  <si>
    <t>YTD</t>
  </si>
  <si>
    <t>Full</t>
  </si>
  <si>
    <t>Month #</t>
  </si>
  <si>
    <t>Designated Receipts Analysis Through</t>
  </si>
  <si>
    <t xml:space="preserve">   WS 2601 Winebrenner Seminary</t>
  </si>
  <si>
    <t xml:space="preserve">      Sub-total</t>
  </si>
  <si>
    <t>CGGC Budget Totals</t>
  </si>
  <si>
    <t xml:space="preserve">   Cooperative Support Rate</t>
  </si>
  <si>
    <t xml:space="preserve">   Designated Support Rate</t>
  </si>
  <si>
    <t xml:space="preserve">   Total Budget Support Rate</t>
  </si>
  <si>
    <t xml:space="preserve">   Total YTD Budget</t>
  </si>
  <si>
    <t>Mid-South</t>
  </si>
  <si>
    <t>Archives / Museum:</t>
  </si>
  <si>
    <t xml:space="preserve">   AM 1006 Archives / Museum Operations</t>
  </si>
  <si>
    <t xml:space="preserve">   WM 1800 Churches of God Women's Ministry</t>
  </si>
  <si>
    <t>Allegheny</t>
  </si>
  <si>
    <t>Eastern</t>
  </si>
  <si>
    <t>Great Lakes</t>
  </si>
  <si>
    <t>Midwest</t>
  </si>
  <si>
    <t>Non-Conference Specific</t>
  </si>
  <si>
    <t>Western</t>
  </si>
  <si>
    <t>Southwest</t>
  </si>
  <si>
    <t xml:space="preserve">   AC 1100 CGGC Pension Reserve Fund</t>
  </si>
  <si>
    <t xml:space="preserve">                </t>
  </si>
  <si>
    <t xml:space="preserve">   GR 1708 ACTS Teams</t>
  </si>
  <si>
    <t>Global Reach Designated Ministries:</t>
  </si>
  <si>
    <t xml:space="preserve">   GR 2725 Contingent Fund</t>
  </si>
  <si>
    <t xml:space="preserve">   GR 2805 Haitian-American Churches</t>
  </si>
  <si>
    <t xml:space="preserve">   GR 2815 International Guests Travel Fund</t>
  </si>
  <si>
    <t xml:space="preserve">   GR 2832 Kenya Special Projects</t>
  </si>
  <si>
    <t xml:space="preserve">   GR 2831 Kenya Ministries</t>
  </si>
  <si>
    <t xml:space="preserve">   GR 2802 Latino Outreach</t>
  </si>
  <si>
    <t xml:space="preserve">   GR 2809 Missionary Internships</t>
  </si>
  <si>
    <t xml:space="preserve">   GR 2814 Missionary Recruitment &amp; Training</t>
  </si>
  <si>
    <t xml:space="preserve">   GR 2810 Nicaragua Ministries</t>
  </si>
  <si>
    <t xml:space="preserve">   GR 2764 Pastors Caleb &amp; Christina Acosta Support - Latino Ministries</t>
  </si>
  <si>
    <t xml:space="preserve">   GR 2730 Rod &amp; Mila Ayers Support - Haiti</t>
  </si>
  <si>
    <t xml:space="preserve">   GR 2754 Pastor Dave &amp; Kenda Kapaku Support - Hawaii</t>
  </si>
  <si>
    <t xml:space="preserve">   GR 2763 Mike &amp; Dawn VanDervort Support - Haiti</t>
  </si>
  <si>
    <t>Partnering in God's Mission Ministries:</t>
  </si>
  <si>
    <t>Mobilizing Disciples Ministries:</t>
  </si>
  <si>
    <t xml:space="preserve">   MD 1318 Church Plant Support</t>
  </si>
  <si>
    <t xml:space="preserve">   DL 1720 Uptick</t>
  </si>
  <si>
    <t xml:space="preserve">   Total Global Reach Ministries</t>
  </si>
  <si>
    <t>Developing Leaders Ministries:</t>
  </si>
  <si>
    <t xml:space="preserve">   GR 2731 Pastor Gordon &amp; Annie Avey Support - Brazil Retired</t>
  </si>
  <si>
    <t xml:space="preserve">   CM 1500 Christian Ministries at The University of Findlay</t>
  </si>
  <si>
    <t xml:space="preserve">   UF 2501 The University of Findlay</t>
  </si>
  <si>
    <t>N/A</t>
  </si>
  <si>
    <t>Sub-totals Designated Ministries</t>
  </si>
  <si>
    <t>2021</t>
  </si>
  <si>
    <t xml:space="preserve">   GR 2115 Gamerco Mission Expenses</t>
  </si>
  <si>
    <t xml:space="preserve">   GR 2733 Pastors Jacob &amp; Haley Day Support - Gamerco</t>
  </si>
  <si>
    <t xml:space="preserve">   GR 2839 Latino Outreach Special Projects</t>
  </si>
  <si>
    <t xml:space="preserve">   GR 2600 Argentina Ministries</t>
  </si>
  <si>
    <t xml:space="preserve">   GR 5000 CGGC - Giving Tuesday</t>
  </si>
  <si>
    <t>2022</t>
  </si>
  <si>
    <t xml:space="preserve">   GR 2601 Argentina Field Leader Support</t>
  </si>
  <si>
    <t xml:space="preserve">   GR 2602 Argentina Special Projects</t>
  </si>
  <si>
    <t xml:space="preserve">   GR 2603 Argentina Education</t>
  </si>
  <si>
    <t xml:space="preserve">   GR 2604 Argentina Partnering Fund</t>
  </si>
  <si>
    <t xml:space="preserve">   GR 2701 Bangladesh Field Director Support</t>
  </si>
  <si>
    <t xml:space="preserve">   GR 2702 Bangladesh Education</t>
  </si>
  <si>
    <t xml:space="preserve">   GR 2703 Bangladesh Partnering Fund</t>
  </si>
  <si>
    <t xml:space="preserve">   GR 2705 Bangladesh Special Projects</t>
  </si>
  <si>
    <t xml:space="preserve">   GR 2709 Bangladesh Community Development</t>
  </si>
  <si>
    <t xml:space="preserve">   GR 2710 Bangladesh Medical Ministries</t>
  </si>
  <si>
    <t xml:space="preserve">   GR 2910 Bangladesh Boys &amp; Girls Hostel</t>
  </si>
  <si>
    <t xml:space="preserve">   GR 2729 Brazil Special Projects</t>
  </si>
  <si>
    <t xml:space="preserve">   GR 2804 Brazil Ministries</t>
  </si>
  <si>
    <t xml:space="preserve">   GR 2806 Brazil Field Leader Support</t>
  </si>
  <si>
    <t xml:space="preserve">   GR 2807 Brazil Education</t>
  </si>
  <si>
    <t xml:space="preserve">   GR 2808 Brazil Partnering Fund</t>
  </si>
  <si>
    <t xml:space="preserve">   GR 2713 Haiti Education</t>
  </si>
  <si>
    <t xml:space="preserve">   GR 2716 Haiti Medical Ministries</t>
  </si>
  <si>
    <t xml:space="preserve">   GR 2718 Haiti Partnering Fund</t>
  </si>
  <si>
    <t xml:space="preserve">   GR 2726 Haiti Vocational Scholarship Fund</t>
  </si>
  <si>
    <t xml:space="preserve">   GR 2746 Haiti Evangelistic Ministries</t>
  </si>
  <si>
    <t xml:space="preserve">   GR 2775 Haiti Field Leader Support</t>
  </si>
  <si>
    <t xml:space="preserve">   GR 2803 Haiti Ministries</t>
  </si>
  <si>
    <t xml:space="preserve">   GR 2812 Haiti Special Projects</t>
  </si>
  <si>
    <t xml:space="preserve">   GR 2825 Haiti Nursing &amp; P.T. School Operations</t>
  </si>
  <si>
    <t xml:space="preserve">   GR 2826 Haiti Nursing &amp; P.T. School Scholarships</t>
  </si>
  <si>
    <t xml:space="preserve">   GR 2720 India Community Development</t>
  </si>
  <si>
    <t xml:space="preserve">   GR 2722 India Field Leader Support</t>
  </si>
  <si>
    <t xml:space="preserve">   GR 2724 India Special Projects</t>
  </si>
  <si>
    <t xml:space="preserve">   GR 2827 India Mission Schools</t>
  </si>
  <si>
    <t xml:space="preserve">   GR 2900 India Child Development Center</t>
  </si>
  <si>
    <t xml:space="preserve">   GR 2903 India Partnering Fund</t>
  </si>
  <si>
    <t xml:space="preserve">   GR 2833 Kenya Field Leader Support</t>
  </si>
  <si>
    <t xml:space="preserve">   GR 2837 Kenya Education</t>
  </si>
  <si>
    <t xml:space="preserve">   GR 2838 Kenya Partnering Fund</t>
  </si>
  <si>
    <t xml:space="preserve">   GR 2116 Gamerco Programs &amp; Ministries</t>
  </si>
  <si>
    <t xml:space="preserve">   GR 2120 Hooghan Nizhoni Mission Expenses</t>
  </si>
  <si>
    <t xml:space="preserve">   GR 2121 Hooghan Nizhoni Programs &amp; Ministries</t>
  </si>
  <si>
    <t xml:space="preserve">   GR 2122 Hooghan Nizhoni Vehicle Operations</t>
  </si>
  <si>
    <t xml:space="preserve">   GR 2757 Pastor John &amp; Toni Thumma Support - Hooghan Nizhoni</t>
  </si>
  <si>
    <t xml:space="preserve">   GR 2835 Dominican Republic Ministries</t>
  </si>
  <si>
    <t xml:space="preserve">   GR 2840 Dominican Republic Field Leader Support</t>
  </si>
  <si>
    <t xml:space="preserve">   GR 2841 Dominican Republic Special Projects</t>
  </si>
  <si>
    <t xml:space="preserve">   GR 2842 Dominican Republic Education</t>
  </si>
  <si>
    <t xml:space="preserve">   GR 2843 Dominican Republic Partnering Fund</t>
  </si>
  <si>
    <t xml:space="preserve">   GR 2822 Mexico Ministries</t>
  </si>
  <si>
    <t xml:space="preserve">   GR 2844 Mexico Field Leader Support</t>
  </si>
  <si>
    <t xml:space="preserve">   GR 2845 Mexico Special Projects</t>
  </si>
  <si>
    <t xml:space="preserve">   GR 2846 Mexico Education</t>
  </si>
  <si>
    <t xml:space="preserve">   GR 2847 Mexico Partnering Fund</t>
  </si>
  <si>
    <t xml:space="preserve">   GR 2850 Nicaragua Field Leader Support</t>
  </si>
  <si>
    <t xml:space="preserve">   GR 2851 Nicaragua Special Projects</t>
  </si>
  <si>
    <t xml:space="preserve">   GR 2852 Nicaragua Education</t>
  </si>
  <si>
    <t xml:space="preserve">   GR 2853 Nicaragua Partnering Fund</t>
  </si>
  <si>
    <t xml:space="preserve">   GR 2834 Venezuela Ministries</t>
  </si>
  <si>
    <t xml:space="preserve">   GR 2870 Venezuela Field Leader Support</t>
  </si>
  <si>
    <t xml:space="preserve">   GR 2871 Venezuela Special Projects</t>
  </si>
  <si>
    <t xml:space="preserve">   GR 2872 Venezuela Education</t>
  </si>
  <si>
    <t xml:space="preserve">   GR 2873 Venezuela Partnering Fund</t>
  </si>
  <si>
    <t xml:space="preserve">   GR 2809.014 Missionary Interns - Bryan &amp; Katie Crabtree</t>
  </si>
  <si>
    <t xml:space="preserve">   DL 1704 National Bible Quizzing</t>
  </si>
  <si>
    <t>Global Reach Designated Ministries (Continued):</t>
  </si>
  <si>
    <t>Southeast</t>
  </si>
  <si>
    <t>September 30, 2022</t>
  </si>
  <si>
    <t xml:space="preserve">   GR 2734 Bryan &amp; Katie Crabtree Support - Thailand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</si>
</sst>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_);\(0.0\)"/>
    <numFmt numFmtId="166" formatCode="0.00_);\(0.00\)"/>
    <numFmt numFmtId="167" formatCode="&quot;$&quot;#,##0.0000_);\(&quot;$&quot;#,##0.0000\)"/>
    <numFmt numFmtId="168" formatCode="#,##0.00;[Red]#,##0.00"/>
    <numFmt numFmtId="169" formatCode="#,##0.0_);\(#,##0.0\)"/>
    <numFmt numFmtId="170" formatCode="[$-409]dddd\,\ mmmm\ d\,\ yyyy"/>
    <numFmt numFmtId="171" formatCode="[$-409]mmmm\ d\,\ yy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9" fontId="0" fillId="0" borderId="0" xfId="0" applyNumberFormat="1" applyAlignment="1">
      <alignment/>
    </xf>
    <xf numFmtId="7" fontId="0" fillId="0" borderId="0" xfId="44" applyNumberFormat="1" applyFont="1" applyAlignment="1">
      <alignment/>
    </xf>
    <xf numFmtId="39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15" fontId="1" fillId="0" borderId="0" xfId="0" applyNumberFormat="1" applyFont="1" applyAlignment="1" quotePrefix="1">
      <alignment horizontal="center"/>
    </xf>
    <xf numFmtId="39" fontId="0" fillId="0" borderId="0" xfId="44" applyNumberFormat="1" applyFont="1" applyAlignment="1">
      <alignment horizontal="right"/>
    </xf>
    <xf numFmtId="7" fontId="0" fillId="0" borderId="0" xfId="0" applyNumberFormat="1" applyAlignment="1">
      <alignment horizontal="right"/>
    </xf>
    <xf numFmtId="3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7" fontId="0" fillId="0" borderId="0" xfId="0" applyNumberFormat="1" applyAlignment="1">
      <alignment/>
    </xf>
    <xf numFmtId="7" fontId="0" fillId="0" borderId="0" xfId="44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1" fontId="0" fillId="0" borderId="0" xfId="0" applyNumberFormat="1" applyAlignment="1">
      <alignment horizontal="left"/>
    </xf>
    <xf numFmtId="3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71" fontId="1" fillId="0" borderId="0" xfId="0" applyNumberFormat="1" applyFont="1" applyAlignment="1" quotePrefix="1">
      <alignment horizontal="center"/>
    </xf>
    <xf numFmtId="171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">
      <pane xSplit="18735" topLeftCell="R1" activePane="topLeft" state="split"/>
      <selection pane="topLeft" activeCell="A1" sqref="A1:F1"/>
      <selection pane="topRight" activeCell="R49" sqref="R49"/>
    </sheetView>
  </sheetViews>
  <sheetFormatPr defaultColWidth="9.140625" defaultRowHeight="12.75"/>
  <cols>
    <col min="1" max="1" width="24.7109375" style="0" customWidth="1"/>
    <col min="2" max="2" width="14.7109375" style="0" customWidth="1"/>
    <col min="3" max="3" width="4.7109375" style="0" customWidth="1"/>
    <col min="4" max="4" width="13.7109375" style="0" customWidth="1"/>
    <col min="5" max="5" width="4.7109375" style="0" customWidth="1"/>
    <col min="6" max="6" width="10.7109375" style="0" customWidth="1"/>
  </cols>
  <sheetData>
    <row r="1" spans="1:6" ht="12.75">
      <c r="A1" s="21" t="s">
        <v>12</v>
      </c>
      <c r="B1" s="21"/>
      <c r="C1" s="21"/>
      <c r="D1" s="21"/>
      <c r="E1" s="21"/>
      <c r="F1" s="21"/>
    </row>
    <row r="2" spans="1:6" ht="12.75">
      <c r="A2" s="21" t="s">
        <v>13</v>
      </c>
      <c r="B2" s="21"/>
      <c r="C2" s="21"/>
      <c r="D2" s="21"/>
      <c r="E2" s="21"/>
      <c r="F2" s="21"/>
    </row>
    <row r="3" spans="1:6" ht="12.75">
      <c r="A3" s="24" t="s">
        <v>141</v>
      </c>
      <c r="B3" s="25"/>
      <c r="C3" s="25"/>
      <c r="D3" s="25"/>
      <c r="E3" s="25"/>
      <c r="F3" s="25"/>
    </row>
    <row r="4" ht="12.75">
      <c r="F4" s="1" t="s">
        <v>16</v>
      </c>
    </row>
    <row r="6" spans="2:6" ht="12.75">
      <c r="B6" s="3" t="s">
        <v>77</v>
      </c>
      <c r="C6" s="3"/>
      <c r="D6" s="3" t="s">
        <v>71</v>
      </c>
      <c r="E6" s="3"/>
      <c r="F6" s="2" t="s">
        <v>3</v>
      </c>
    </row>
    <row r="7" spans="2:6" ht="12.75">
      <c r="B7" s="2" t="s">
        <v>7</v>
      </c>
      <c r="C7" s="2"/>
      <c r="D7" s="2" t="s">
        <v>7</v>
      </c>
      <c r="E7" s="2"/>
      <c r="F7" s="2" t="s">
        <v>4</v>
      </c>
    </row>
    <row r="8" spans="1:6" ht="12.75">
      <c r="A8" s="2" t="s">
        <v>0</v>
      </c>
      <c r="B8" s="2" t="s">
        <v>2</v>
      </c>
      <c r="C8" s="2"/>
      <c r="D8" s="2" t="s">
        <v>2</v>
      </c>
      <c r="E8" s="2"/>
      <c r="F8" s="2" t="s">
        <v>5</v>
      </c>
    </row>
    <row r="10" ht="12.75">
      <c r="A10" s="1" t="s">
        <v>36</v>
      </c>
    </row>
    <row r="11" spans="1:6" ht="12.75">
      <c r="A11" t="s">
        <v>8</v>
      </c>
      <c r="B11" s="5">
        <f>8547.08+9427.87+8486.19+9073.35+13631.7+9849.87+9945.31+6684.7</f>
        <v>75646.07</v>
      </c>
      <c r="C11" s="5"/>
      <c r="D11" s="5">
        <v>78898.43</v>
      </c>
      <c r="F11" s="7">
        <f>IF(D11=0,0,ROUND((B11-D11)/D11,4))</f>
        <v>-0.0412</v>
      </c>
    </row>
    <row r="12" spans="1:6" ht="12.75">
      <c r="A12" t="s">
        <v>9</v>
      </c>
      <c r="B12" s="6">
        <f>2319+18571.01+9391.76+5816.01+9410.72+7392.06+7047.51+7934.01+14476.01</f>
        <v>82358.09</v>
      </c>
      <c r="C12" s="5"/>
      <c r="D12" s="6">
        <v>60934.43</v>
      </c>
      <c r="F12" s="7">
        <f>IF(D12=0,0,ROUND((B12-D12)/D12,4))</f>
        <v>0.3516</v>
      </c>
    </row>
    <row r="13" spans="1:6" ht="12.75">
      <c r="A13" t="s">
        <v>26</v>
      </c>
      <c r="B13" s="6">
        <f>+B11+B12</f>
        <v>158004.16</v>
      </c>
      <c r="C13" s="5"/>
      <c r="D13" s="6">
        <f>+D11+D12</f>
        <v>139832.86</v>
      </c>
      <c r="F13" s="7">
        <f>IF(D13=0,0,ROUND((B13-D13)/D13,4))</f>
        <v>0.13</v>
      </c>
    </row>
    <row r="14" spans="1:6" ht="12.75">
      <c r="A14" t="s">
        <v>10</v>
      </c>
      <c r="B14" s="6">
        <f>500+693.5+395+200+290+14+15.23+5.43</f>
        <v>2113.16</v>
      </c>
      <c r="C14" s="5"/>
      <c r="D14" s="6">
        <v>1500</v>
      </c>
      <c r="F14" s="7">
        <f>IF(D14=0,0,ROUND((B14-D14)/D14,4))</f>
        <v>0.4088</v>
      </c>
    </row>
    <row r="15" spans="1:6" ht="12.75">
      <c r="A15" t="s">
        <v>11</v>
      </c>
      <c r="B15" s="5">
        <f>SUM(B13:B14)</f>
        <v>160117.32</v>
      </c>
      <c r="C15" s="5"/>
      <c r="D15" s="5">
        <f>SUM(D13:D14)</f>
        <v>141332.86</v>
      </c>
      <c r="F15" s="7">
        <f>IF(D15=0,0,ROUND((B15-D15)/D15,4))</f>
        <v>0.1329</v>
      </c>
    </row>
    <row r="16" spans="2:6" ht="12.75">
      <c r="B16" s="6"/>
      <c r="C16" s="5"/>
      <c r="D16" s="6"/>
      <c r="F16" s="7"/>
    </row>
    <row r="17" ht="12.75">
      <c r="A17" s="1" t="s">
        <v>1</v>
      </c>
    </row>
    <row r="18" spans="1:6" ht="12.75">
      <c r="A18" t="s">
        <v>8</v>
      </c>
      <c r="B18" s="5">
        <f>0</f>
        <v>0</v>
      </c>
      <c r="C18" s="5"/>
      <c r="D18" s="5">
        <f>0</f>
        <v>0</v>
      </c>
      <c r="F18" s="7">
        <f>IF(D18=0,0,ROUND((B18-D18)/D18,4))</f>
        <v>0</v>
      </c>
    </row>
    <row r="19" spans="1:6" ht="12.75">
      <c r="A19" t="s">
        <v>9</v>
      </c>
      <c r="B19" s="6">
        <f>56+56+56+56+56+56+56+56+56</f>
        <v>504</v>
      </c>
      <c r="C19" s="5"/>
      <c r="D19" s="6">
        <v>2004</v>
      </c>
      <c r="F19" s="7">
        <f>IF(D19=0,0,ROUND((B19-D19)/D19,4))</f>
        <v>-0.7485</v>
      </c>
    </row>
    <row r="20" spans="1:6" ht="12.75">
      <c r="A20" t="s">
        <v>26</v>
      </c>
      <c r="B20" s="6">
        <f>+B18+B19</f>
        <v>504</v>
      </c>
      <c r="C20" s="5"/>
      <c r="D20" s="6">
        <f>+D18+D19</f>
        <v>2004</v>
      </c>
      <c r="F20" s="7">
        <f>IF(D20=0,0,ROUND((B20-D20)/D20,4))</f>
        <v>-0.7485</v>
      </c>
    </row>
    <row r="21" spans="1:6" ht="12.75">
      <c r="A21" t="s">
        <v>10</v>
      </c>
      <c r="B21" s="6">
        <f>0+15</f>
        <v>15</v>
      </c>
      <c r="C21" s="5"/>
      <c r="D21" s="6">
        <v>15</v>
      </c>
      <c r="F21" s="7">
        <f>IF(D21=0,0,ROUND((B21-D21)/D21,4))</f>
        <v>0</v>
      </c>
    </row>
    <row r="22" spans="1:6" ht="12.75">
      <c r="A22" t="s">
        <v>11</v>
      </c>
      <c r="B22" s="5">
        <f>SUM(B20:B21)</f>
        <v>519</v>
      </c>
      <c r="C22" s="5"/>
      <c r="D22" s="5">
        <f>SUM(D20:D21)</f>
        <v>2019</v>
      </c>
      <c r="F22" s="7">
        <f>IF(D22=0,0,ROUND((B22-D22)/D22,4))</f>
        <v>-0.7429</v>
      </c>
    </row>
    <row r="23" spans="2:4" ht="12.75">
      <c r="B23" s="4"/>
      <c r="C23" s="4"/>
      <c r="D23" s="4"/>
    </row>
    <row r="24" spans="1:4" ht="12.75">
      <c r="A24" s="1" t="s">
        <v>37</v>
      </c>
      <c r="B24" s="4"/>
      <c r="C24" s="4"/>
      <c r="D24" s="4"/>
    </row>
    <row r="25" spans="1:6" ht="12.75">
      <c r="A25" t="s">
        <v>8</v>
      </c>
      <c r="B25" s="5">
        <f>0+60391.07+62442.36+69424.77+72262.91+61181.82+67627.26+53200.76+76189.81</f>
        <v>522720.76</v>
      </c>
      <c r="C25" s="5"/>
      <c r="D25" s="5">
        <v>500739.15</v>
      </c>
      <c r="F25" s="7">
        <f>IF(D25=0,0,ROUND((B25-D25)/D25,4))</f>
        <v>0.0439</v>
      </c>
    </row>
    <row r="26" spans="1:6" ht="12.75">
      <c r="A26" t="s">
        <v>9</v>
      </c>
      <c r="B26" s="6">
        <f>20477.36+34153.6+33646+43757.66+33177+16311.02+25694+24619.13+29832.5</f>
        <v>261668.27</v>
      </c>
      <c r="C26" s="5"/>
      <c r="D26" s="6">
        <v>296773.24</v>
      </c>
      <c r="F26" s="7">
        <f>IF(D26=0,0,ROUND((B26-D26)/D26,4))</f>
        <v>-0.1183</v>
      </c>
    </row>
    <row r="27" spans="1:6" ht="12.75">
      <c r="A27" t="s">
        <v>26</v>
      </c>
      <c r="B27" s="6">
        <f>+B25+B26</f>
        <v>784389.03</v>
      </c>
      <c r="C27" s="5"/>
      <c r="D27" s="6">
        <f>+D25+D26</f>
        <v>797512.39</v>
      </c>
      <c r="F27" s="7">
        <f>IF(D27=0,0,ROUND((B27-D27)/D27,4))</f>
        <v>-0.0165</v>
      </c>
    </row>
    <row r="28" spans="1:6" ht="12.75">
      <c r="A28" t="s">
        <v>10</v>
      </c>
      <c r="B28" s="6">
        <f>800+1151+1590+430+1878+300+65+12.58+3526.5+3050</f>
        <v>12803.08</v>
      </c>
      <c r="C28" s="5"/>
      <c r="D28" s="6">
        <v>28890</v>
      </c>
      <c r="F28" s="7">
        <f>IF(D28=0,0,ROUND((B28-D28)/D28,4))</f>
        <v>-0.5568</v>
      </c>
    </row>
    <row r="29" spans="1:6" ht="12.75">
      <c r="A29" t="s">
        <v>11</v>
      </c>
      <c r="B29" s="5">
        <f>SUM(B27:B28)</f>
        <v>797192.11</v>
      </c>
      <c r="C29" s="5"/>
      <c r="D29" s="5">
        <f>SUM(D27:D28)</f>
        <v>826402.39</v>
      </c>
      <c r="F29" s="7">
        <f>IF(D29=0,0,ROUND((B29-D29)/D29,4))</f>
        <v>-0.0353</v>
      </c>
    </row>
    <row r="30" spans="2:4" ht="12.75">
      <c r="B30" s="4"/>
      <c r="C30" s="4"/>
      <c r="D30" s="4"/>
    </row>
    <row r="31" spans="1:4" ht="12.75">
      <c r="A31" s="1" t="s">
        <v>38</v>
      </c>
      <c r="B31" s="4"/>
      <c r="C31" s="4"/>
      <c r="D31" s="4"/>
    </row>
    <row r="32" spans="1:6" ht="12.75">
      <c r="A32" t="s">
        <v>8</v>
      </c>
      <c r="B32" s="5">
        <f>0+9449.6+9306.98+10955.5+11693.56+9410.63+11671.78+10307.71+10919.76</f>
        <v>83715.51999999999</v>
      </c>
      <c r="C32" s="5"/>
      <c r="D32" s="5">
        <v>77393.28</v>
      </c>
      <c r="F32" s="7">
        <f>IF(D32=0,0,ROUND((B32-D32)/D32,4))</f>
        <v>0.0817</v>
      </c>
    </row>
    <row r="33" spans="1:6" ht="12.75">
      <c r="A33" t="s">
        <v>9</v>
      </c>
      <c r="B33" s="6">
        <f>5590+7985+11319.25+9045.95+8976.45+7367.95+20764.55+9336.95+15201.53</f>
        <v>95587.62999999999</v>
      </c>
      <c r="C33" s="5"/>
      <c r="D33" s="6">
        <v>90081.63</v>
      </c>
      <c r="F33" s="7">
        <f>IF(D33=0,0,ROUND((B33-D33)/D33,4))</f>
        <v>0.0611</v>
      </c>
    </row>
    <row r="34" spans="1:6" ht="12.75">
      <c r="A34" t="s">
        <v>26</v>
      </c>
      <c r="B34" s="6">
        <f>+B32+B33</f>
        <v>179303.14999999997</v>
      </c>
      <c r="C34" s="5"/>
      <c r="D34" s="6">
        <f>+D32+D33</f>
        <v>167474.91</v>
      </c>
      <c r="F34" s="7">
        <f>IF(D34=0,0,ROUND((B34-D34)/D34,4))</f>
        <v>0.0706</v>
      </c>
    </row>
    <row r="35" spans="1:6" ht="12.75">
      <c r="A35" t="s">
        <v>10</v>
      </c>
      <c r="B35" s="6">
        <f>150+495+345+80+50+50+150+16.76+158.25+53.38</f>
        <v>1548.39</v>
      </c>
      <c r="C35" s="5"/>
      <c r="D35" s="6">
        <v>2690</v>
      </c>
      <c r="F35" s="7">
        <f>IF(D35=0,0,ROUND((B35-D35)/D35,4))</f>
        <v>-0.4244</v>
      </c>
    </row>
    <row r="36" spans="1:6" ht="12.75">
      <c r="A36" t="s">
        <v>11</v>
      </c>
      <c r="B36" s="5">
        <f>SUM(B34:B35)</f>
        <v>180851.53999999998</v>
      </c>
      <c r="C36" s="5"/>
      <c r="D36" s="5">
        <f>SUM(D34:D35)</f>
        <v>170164.91</v>
      </c>
      <c r="F36" s="7">
        <f>IF(D36=0,0,ROUND((B36-D36)/D36,4))</f>
        <v>0.0628</v>
      </c>
    </row>
    <row r="37" spans="2:4" ht="12.75">
      <c r="B37" s="4"/>
      <c r="C37" s="4"/>
      <c r="D37" s="4"/>
    </row>
    <row r="38" spans="1:4" ht="12.75">
      <c r="A38" s="1" t="s">
        <v>32</v>
      </c>
      <c r="B38" s="4"/>
      <c r="C38" s="4"/>
      <c r="D38" s="4"/>
    </row>
    <row r="39" spans="1:6" ht="12.75">
      <c r="A39" t="s">
        <v>8</v>
      </c>
      <c r="B39" s="5">
        <f>0</f>
        <v>0</v>
      </c>
      <c r="C39" s="5"/>
      <c r="D39" s="5">
        <v>0</v>
      </c>
      <c r="F39" s="7">
        <f>IF(D39=0,0,ROUND((B39-D39)/D39,4))</f>
        <v>0</v>
      </c>
    </row>
    <row r="40" spans="1:6" ht="12.75">
      <c r="A40" t="s">
        <v>9</v>
      </c>
      <c r="B40" s="6">
        <v>0</v>
      </c>
      <c r="C40" s="5"/>
      <c r="D40" s="6">
        <v>0</v>
      </c>
      <c r="F40" s="7">
        <f>IF(D40=0,0,ROUND((B40-D40)/D40,4))</f>
        <v>0</v>
      </c>
    </row>
    <row r="41" spans="1:6" ht="12.75">
      <c r="A41" t="s">
        <v>26</v>
      </c>
      <c r="B41" s="6">
        <f>+B39+B40</f>
        <v>0</v>
      </c>
      <c r="C41" s="5"/>
      <c r="D41" s="6">
        <f>+D39+D40</f>
        <v>0</v>
      </c>
      <c r="F41" s="7">
        <f>IF(D41=0,0,ROUND((B41-D41)/D41,4))</f>
        <v>0</v>
      </c>
    </row>
    <row r="42" spans="1:6" ht="12.75">
      <c r="A42" t="s">
        <v>10</v>
      </c>
      <c r="B42" s="6">
        <v>0</v>
      </c>
      <c r="C42" s="5"/>
      <c r="D42" s="6">
        <v>0</v>
      </c>
      <c r="F42" s="7">
        <f>IF(D42=0,0,ROUND((B42-D42)/D42,4))</f>
        <v>0</v>
      </c>
    </row>
    <row r="43" spans="1:6" ht="12.75">
      <c r="A43" t="s">
        <v>11</v>
      </c>
      <c r="B43" s="5">
        <f>SUM(B41:B42)</f>
        <v>0</v>
      </c>
      <c r="C43" s="5"/>
      <c r="D43" s="5">
        <f>SUM(D41:D42)</f>
        <v>0</v>
      </c>
      <c r="F43" s="7">
        <f>IF(D43=0,0,ROUND((B43-D43)/D43,4))</f>
        <v>0</v>
      </c>
    </row>
    <row r="44" spans="2:4" ht="12.75">
      <c r="B44" s="4"/>
      <c r="C44" s="4"/>
      <c r="D44" s="4"/>
    </row>
    <row r="45" spans="1:4" ht="12.75">
      <c r="A45" s="1" t="s">
        <v>39</v>
      </c>
      <c r="B45" s="4"/>
      <c r="C45" s="4"/>
      <c r="D45" s="4"/>
    </row>
    <row r="46" spans="1:6" ht="12.75">
      <c r="A46" t="s">
        <v>8</v>
      </c>
      <c r="B46" s="5">
        <f>0+5161.66+15849.24+12368.51+13935.18+11577.33+10021.99+7618.73+14955.03</f>
        <v>91487.67</v>
      </c>
      <c r="C46" s="5"/>
      <c r="D46" s="5">
        <v>86788.95</v>
      </c>
      <c r="F46" s="7">
        <f>IF(D46=0,0,ROUND((B46-D46)/D46,4))</f>
        <v>0.0541</v>
      </c>
    </row>
    <row r="47" spans="1:6" ht="12.75">
      <c r="A47" t="s">
        <v>9</v>
      </c>
      <c r="B47" s="6">
        <f>2454+2962.67+6248.03+8639.66+9373+4413.33+3798.41+5242+3330.02</f>
        <v>46461.12</v>
      </c>
      <c r="C47" s="5"/>
      <c r="D47" s="6">
        <v>53760.3</v>
      </c>
      <c r="F47" s="7">
        <f>IF(D47=0,0,ROUND((B47-D47)/D47,4))</f>
        <v>-0.1358</v>
      </c>
    </row>
    <row r="48" spans="1:6" ht="12.75">
      <c r="A48" t="s">
        <v>26</v>
      </c>
      <c r="B48" s="6">
        <f>+B46+B47</f>
        <v>137948.79</v>
      </c>
      <c r="C48" s="5"/>
      <c r="D48" s="6">
        <f>+D46+D47</f>
        <v>140549.25</v>
      </c>
      <c r="F48" s="7">
        <f>IF(D48=0,0,ROUND((B48-D48)/D48,4))</f>
        <v>-0.0185</v>
      </c>
    </row>
    <row r="49" spans="1:6" ht="12.75">
      <c r="A49" t="s">
        <v>10</v>
      </c>
      <c r="B49" s="6">
        <f>50+25+220+650+18860.21+165.73+25+640</f>
        <v>20635.94</v>
      </c>
      <c r="C49" s="5"/>
      <c r="D49" s="6">
        <v>3330</v>
      </c>
      <c r="F49" s="7">
        <f>IF(D49=0,0,ROUND((B49-D49)/D49,4))</f>
        <v>5.197</v>
      </c>
    </row>
    <row r="50" spans="1:6" ht="12.75">
      <c r="A50" t="s">
        <v>11</v>
      </c>
      <c r="B50" s="5">
        <f>SUM(B48:B49)</f>
        <v>158584.73</v>
      </c>
      <c r="C50" s="5"/>
      <c r="D50" s="5">
        <f>SUM(D48:D49)</f>
        <v>143879.25</v>
      </c>
      <c r="F50" s="7">
        <f>IF(D50=0,0,ROUND((B50-D50)/D50,4))</f>
        <v>0.1022</v>
      </c>
    </row>
    <row r="51" spans="2:4" ht="12.75">
      <c r="B51" s="4"/>
      <c r="C51" s="4"/>
      <c r="D51" s="4"/>
    </row>
    <row r="52" spans="1:4" ht="12.75">
      <c r="A52" s="1" t="s">
        <v>140</v>
      </c>
      <c r="B52" s="4"/>
      <c r="C52" s="4"/>
      <c r="D52" s="4"/>
    </row>
    <row r="53" spans="1:6" ht="12.75">
      <c r="A53" t="s">
        <v>8</v>
      </c>
      <c r="B53" s="5">
        <v>0</v>
      </c>
      <c r="C53" s="5"/>
      <c r="D53" s="5">
        <v>0</v>
      </c>
      <c r="F53" s="7">
        <f>IF(D53=0,0,ROUND((B53-D53)/D53,4))</f>
        <v>0</v>
      </c>
    </row>
    <row r="54" spans="1:6" ht="12.75">
      <c r="A54" t="s">
        <v>9</v>
      </c>
      <c r="B54" s="6">
        <f>0</f>
        <v>0</v>
      </c>
      <c r="C54" s="5"/>
      <c r="D54" s="6">
        <v>0</v>
      </c>
      <c r="F54" s="7">
        <f>IF(D54=0,0,ROUND((B54-D54)/D54,4))</f>
        <v>0</v>
      </c>
    </row>
    <row r="55" spans="1:6" ht="12.75">
      <c r="A55" t="s">
        <v>26</v>
      </c>
      <c r="B55" s="6">
        <f>+B53+B54</f>
        <v>0</v>
      </c>
      <c r="C55" s="5"/>
      <c r="D55" s="6">
        <f>+D53+D54</f>
        <v>0</v>
      </c>
      <c r="F55" s="7">
        <f>IF(D55=0,0,ROUND((B55-D55)/D55,4))</f>
        <v>0</v>
      </c>
    </row>
    <row r="56" spans="1:6" ht="12.75">
      <c r="A56" t="s">
        <v>10</v>
      </c>
      <c r="B56" s="6">
        <f>0</f>
        <v>0</v>
      </c>
      <c r="C56" s="5"/>
      <c r="D56" s="6">
        <v>0</v>
      </c>
      <c r="F56" s="7">
        <f>IF(D56=0,0,ROUND((B56-D56)/D56,4))</f>
        <v>0</v>
      </c>
    </row>
    <row r="57" spans="1:6" ht="12.75">
      <c r="A57" t="s">
        <v>11</v>
      </c>
      <c r="B57" s="5">
        <f>SUM(B55:B56)</f>
        <v>0</v>
      </c>
      <c r="C57" s="5"/>
      <c r="D57" s="5">
        <f>SUM(D55:D56)</f>
        <v>0</v>
      </c>
      <c r="F57" s="7">
        <f>IF(D57=0,0,ROUND((B57-D57)/D57,4))</f>
        <v>0</v>
      </c>
    </row>
    <row r="58" spans="2:4" ht="12.75">
      <c r="B58" s="4"/>
      <c r="C58" s="4"/>
      <c r="D58" s="4"/>
    </row>
    <row r="59" spans="1:4" ht="12.75">
      <c r="A59" s="1" t="s">
        <v>42</v>
      </c>
      <c r="B59" s="4"/>
      <c r="C59" s="4"/>
      <c r="D59" s="4"/>
    </row>
    <row r="60" spans="1:6" ht="12.75">
      <c r="A60" t="s">
        <v>8</v>
      </c>
      <c r="B60" s="5">
        <f>70.97+55.65+77.75+70.54+85.6+68.05+68.19+53.41+104.6</f>
        <v>654.76</v>
      </c>
      <c r="C60" s="5"/>
      <c r="D60" s="5">
        <v>898.99</v>
      </c>
      <c r="F60" s="7">
        <f>IF(D60=0,0,ROUND((B60-D60)/D60,4))</f>
        <v>-0.2717</v>
      </c>
    </row>
    <row r="61" spans="1:6" ht="12.75">
      <c r="A61" t="s">
        <v>9</v>
      </c>
      <c r="B61" s="6">
        <f>0</f>
        <v>0</v>
      </c>
      <c r="C61" s="5"/>
      <c r="D61" s="6">
        <v>72</v>
      </c>
      <c r="F61" s="7">
        <f>IF(D61=0,0,ROUND((B61-D61)/D61,4))</f>
        <v>-1</v>
      </c>
    </row>
    <row r="62" spans="1:6" ht="12.75">
      <c r="A62" t="s">
        <v>26</v>
      </c>
      <c r="B62" s="6">
        <f>+B60+B61</f>
        <v>654.76</v>
      </c>
      <c r="C62" s="5"/>
      <c r="D62" s="6">
        <v>970.99</v>
      </c>
      <c r="F62" s="7">
        <f>IF(D62=0,0,ROUND((B62-D62)/D62,4))</f>
        <v>-0.3257</v>
      </c>
    </row>
    <row r="63" spans="1:6" ht="12.75">
      <c r="A63" t="s">
        <v>10</v>
      </c>
      <c r="B63" s="6">
        <f>0</f>
        <v>0</v>
      </c>
      <c r="C63" s="5"/>
      <c r="D63" s="6">
        <v>0</v>
      </c>
      <c r="F63" s="7">
        <f>IF(D63=0,0,ROUND((B63-D63)/D63,4))</f>
        <v>0</v>
      </c>
    </row>
    <row r="64" spans="1:6" ht="12.75">
      <c r="A64" t="s">
        <v>11</v>
      </c>
      <c r="B64" s="5">
        <f>SUM(B62:B63)</f>
        <v>654.76</v>
      </c>
      <c r="C64" s="5"/>
      <c r="D64" s="5">
        <f>SUM(D62:D63)</f>
        <v>970.99</v>
      </c>
      <c r="F64" s="7">
        <f>IF(D64=0,0,ROUND((B64-D64)/D64,4))</f>
        <v>-0.3257</v>
      </c>
    </row>
    <row r="65" spans="2:4" ht="12.75">
      <c r="B65" s="4"/>
      <c r="C65" s="4"/>
      <c r="D65" s="4"/>
    </row>
    <row r="67" spans="1:6" ht="12.75">
      <c r="A67" s="21" t="s">
        <v>12</v>
      </c>
      <c r="B67" s="21"/>
      <c r="C67" s="21"/>
      <c r="D67" s="21"/>
      <c r="E67" s="21"/>
      <c r="F67" s="21"/>
    </row>
    <row r="68" spans="1:6" ht="12.75">
      <c r="A68" s="21" t="s">
        <v>13</v>
      </c>
      <c r="B68" s="21"/>
      <c r="C68" s="21"/>
      <c r="D68" s="21"/>
      <c r="E68" s="21"/>
      <c r="F68" s="21"/>
    </row>
    <row r="69" spans="1:6" ht="12.75">
      <c r="A69" s="22" t="str">
        <f>+A3</f>
        <v>September 30, 2022</v>
      </c>
      <c r="B69" s="23"/>
      <c r="C69" s="23"/>
      <c r="D69" s="23"/>
      <c r="E69" s="23"/>
      <c r="F69" s="23"/>
    </row>
    <row r="70" ht="12.75">
      <c r="F70" s="1" t="s">
        <v>15</v>
      </c>
    </row>
    <row r="72" spans="2:6" ht="12.75">
      <c r="B72" s="3" t="str">
        <f>+B6</f>
        <v>2022</v>
      </c>
      <c r="C72" s="3"/>
      <c r="D72" s="3" t="str">
        <f>+D6</f>
        <v>2021</v>
      </c>
      <c r="E72" s="3"/>
      <c r="F72" s="2" t="s">
        <v>3</v>
      </c>
    </row>
    <row r="73" spans="2:6" ht="12.75">
      <c r="B73" s="2" t="s">
        <v>7</v>
      </c>
      <c r="C73" s="2"/>
      <c r="D73" s="2" t="str">
        <f>+D7</f>
        <v>Year to Date</v>
      </c>
      <c r="E73" s="2"/>
      <c r="F73" s="2" t="s">
        <v>4</v>
      </c>
    </row>
    <row r="74" spans="1:6" ht="12.75">
      <c r="A74" s="2" t="s">
        <v>0</v>
      </c>
      <c r="B74" s="2" t="s">
        <v>2</v>
      </c>
      <c r="C74" s="2"/>
      <c r="D74" s="2" t="s">
        <v>2</v>
      </c>
      <c r="E74" s="2"/>
      <c r="F74" s="2" t="s">
        <v>5</v>
      </c>
    </row>
    <row r="76" spans="1:4" ht="12.75">
      <c r="A76" s="1" t="s">
        <v>41</v>
      </c>
      <c r="B76" s="4"/>
      <c r="C76" s="4"/>
      <c r="D76" s="4"/>
    </row>
    <row r="77" spans="1:6" ht="12.75">
      <c r="A77" t="s">
        <v>8</v>
      </c>
      <c r="B77" s="5">
        <f>100+8368.98+1967.13+3699.48+2480.12+1831+2141.87+1614.35+1614.72</f>
        <v>23817.649999999998</v>
      </c>
      <c r="C77" s="5"/>
      <c r="D77" s="5">
        <v>17189.27</v>
      </c>
      <c r="F77" s="7">
        <f>IF(D77=0,0,ROUND((B77-D77)/D77,4))</f>
        <v>0.3856</v>
      </c>
    </row>
    <row r="78" spans="1:6" ht="12.75">
      <c r="A78" t="s">
        <v>9</v>
      </c>
      <c r="B78" s="6">
        <f>976+246+707+1084+676+1226+2286+301+346</f>
        <v>7848</v>
      </c>
      <c r="C78" s="5"/>
      <c r="D78" s="6">
        <v>8718</v>
      </c>
      <c r="F78" s="7">
        <f>IF(D78=0,0,ROUND((B78-D78)/D78,4))</f>
        <v>-0.0998</v>
      </c>
    </row>
    <row r="79" spans="1:6" ht="12.75">
      <c r="A79" t="s">
        <v>26</v>
      </c>
      <c r="B79" s="6">
        <f>+B77+B78</f>
        <v>31665.649999999998</v>
      </c>
      <c r="C79" s="5"/>
      <c r="D79" s="6">
        <f>+D77+D78</f>
        <v>25907.27</v>
      </c>
      <c r="F79" s="7">
        <f>IF(D79=0,0,ROUND((B79-D79)/D79,4))</f>
        <v>0.2223</v>
      </c>
    </row>
    <row r="80" spans="1:6" ht="12.75">
      <c r="A80" t="s">
        <v>10</v>
      </c>
      <c r="B80" s="6">
        <f>0+165+100+3.9+1.3+0.65</f>
        <v>270.84999999999997</v>
      </c>
      <c r="C80" s="5"/>
      <c r="D80" s="6">
        <v>2150</v>
      </c>
      <c r="F80" s="7">
        <f>IF(D80=0,0,ROUND((B80-D80)/D80,4))</f>
        <v>-0.874</v>
      </c>
    </row>
    <row r="81" spans="1:6" ht="12.75">
      <c r="A81" t="s">
        <v>11</v>
      </c>
      <c r="B81" s="5">
        <f>SUM(B79:B80)</f>
        <v>31936.499999999996</v>
      </c>
      <c r="C81" s="5"/>
      <c r="D81" s="5">
        <f>SUM(D79:D80)</f>
        <v>28057.27</v>
      </c>
      <c r="F81" s="7">
        <f>IF(D81=0,0,ROUND((B81-D81)/D81,4))</f>
        <v>0.1383</v>
      </c>
    </row>
    <row r="83" spans="1:4" ht="12.75">
      <c r="A83" s="1" t="s">
        <v>40</v>
      </c>
      <c r="B83" s="4"/>
      <c r="C83" s="4"/>
      <c r="D83" s="4"/>
    </row>
    <row r="84" spans="1:6" ht="12.75">
      <c r="A84" t="s">
        <v>8</v>
      </c>
      <c r="B84" s="5">
        <f>350+350+505+350+350+350+200+500+350</f>
        <v>3305</v>
      </c>
      <c r="C84" s="5"/>
      <c r="D84" s="5">
        <v>3250</v>
      </c>
      <c r="F84" s="7">
        <f>IF(D84=0,0,ROUND((B84-D84)/D84,4))</f>
        <v>0.0169</v>
      </c>
    </row>
    <row r="85" spans="1:6" ht="12.75">
      <c r="A85" t="s">
        <v>9</v>
      </c>
      <c r="B85" s="6">
        <f>8947.29+6610+6645+12085+7196+4366+39124.33+9621+3386</f>
        <v>97980.62</v>
      </c>
      <c r="C85" s="5"/>
      <c r="D85" s="6">
        <v>88692.6</v>
      </c>
      <c r="F85" s="7">
        <f>IF(D85=0,0,ROUND((B85-D85)/D85,4))</f>
        <v>0.1047</v>
      </c>
    </row>
    <row r="86" spans="1:6" ht="12.75">
      <c r="A86" t="s">
        <v>26</v>
      </c>
      <c r="B86" s="6">
        <f>+B84+B85</f>
        <v>101285.62</v>
      </c>
      <c r="C86" s="5"/>
      <c r="D86" s="6">
        <f>+D84+D85</f>
        <v>91942.6</v>
      </c>
      <c r="F86" s="7">
        <f>IF(D86=0,0,ROUND((B86-D86)/D86,4))</f>
        <v>0.1016</v>
      </c>
    </row>
    <row r="87" spans="1:6" ht="12.75">
      <c r="A87" t="s">
        <v>10</v>
      </c>
      <c r="B87" s="6">
        <f>2113+625+240.56+35+134.94+21.51+30000+93.56+8.01+2906.66</f>
        <v>36178.240000000005</v>
      </c>
      <c r="C87" s="5"/>
      <c r="D87" s="6">
        <v>7360.81</v>
      </c>
      <c r="F87" s="7">
        <f>IF(D87=0,0,ROUND((B87-D87)/D87,4))</f>
        <v>3.915</v>
      </c>
    </row>
    <row r="88" spans="1:6" ht="12.75">
      <c r="A88" t="s">
        <v>11</v>
      </c>
      <c r="B88" s="5">
        <f>SUM(B86:B87)</f>
        <v>137463.86</v>
      </c>
      <c r="C88" s="5"/>
      <c r="D88" s="5">
        <f>SUM(D86:D87)</f>
        <v>99303.41</v>
      </c>
      <c r="F88" s="7">
        <f>IF(D88=0,0,ROUND((B88-D88)/D88,4))</f>
        <v>0.3843</v>
      </c>
    </row>
    <row r="89" ht="12.75">
      <c r="F89" s="7"/>
    </row>
    <row r="90" spans="1:4" ht="12.75">
      <c r="A90" s="1" t="s">
        <v>14</v>
      </c>
      <c r="B90" s="4"/>
      <c r="C90" s="4"/>
      <c r="D90" s="4"/>
    </row>
    <row r="91" spans="1:6" ht="12.75">
      <c r="A91" t="s">
        <v>8</v>
      </c>
      <c r="B91" s="5">
        <f>+B11+B18+B25+B32+B39+B46+B53+B60+B77+B84</f>
        <v>801347.4300000002</v>
      </c>
      <c r="C91" s="5"/>
      <c r="D91" s="5">
        <v>765158.07</v>
      </c>
      <c r="F91" s="7">
        <f>IF(D91=0,0,ROUND((B91-D91)/D91,4))</f>
        <v>0.0473</v>
      </c>
    </row>
    <row r="92" spans="1:6" ht="12.75">
      <c r="A92" t="s">
        <v>9</v>
      </c>
      <c r="B92" s="6">
        <f>+B12+B19+B26+B33+B40+B47+B54+B61+B78+B85</f>
        <v>592407.73</v>
      </c>
      <c r="C92" s="6"/>
      <c r="D92" s="6">
        <v>601036.2</v>
      </c>
      <c r="F92" s="7">
        <f>IF(D92=0,0,ROUND((B92-D92)/D92,4))</f>
        <v>-0.0144</v>
      </c>
    </row>
    <row r="93" spans="1:6" ht="12.75">
      <c r="A93" t="s">
        <v>26</v>
      </c>
      <c r="B93" s="6">
        <f>+B91+B92</f>
        <v>1393755.1600000001</v>
      </c>
      <c r="C93" s="5"/>
      <c r="D93" s="6">
        <f>+D91+D92</f>
        <v>1366194.27</v>
      </c>
      <c r="F93" s="7">
        <f>IF(D93=0,0,ROUND((B93-D93)/D93,4))</f>
        <v>0.0202</v>
      </c>
    </row>
    <row r="94" spans="1:6" ht="12.75">
      <c r="A94" t="s">
        <v>10</v>
      </c>
      <c r="B94" s="6">
        <f>+B14+B21+B28+B35+B42+B49+B56+B63+B80+B87</f>
        <v>73564.66</v>
      </c>
      <c r="C94" s="6"/>
      <c r="D94" s="6">
        <v>45935.81</v>
      </c>
      <c r="F94" s="7">
        <f>IF(D94=0,0,ROUND((B94-D94)/D94,4))</f>
        <v>0.6015</v>
      </c>
    </row>
    <row r="95" spans="1:6" ht="12.75">
      <c r="A95" t="s">
        <v>11</v>
      </c>
      <c r="B95" s="5">
        <f>SUM(B93:B94)</f>
        <v>1467319.82</v>
      </c>
      <c r="C95" s="5"/>
      <c r="D95" s="5">
        <f>SUM(D93:D94)</f>
        <v>1412130.08</v>
      </c>
      <c r="F95" s="7">
        <f>IF(D95=0,0,ROUND((B95-D95)/D95,4))</f>
        <v>0.0391</v>
      </c>
    </row>
    <row r="97" spans="1:6" ht="12.75">
      <c r="A97" s="1" t="s">
        <v>27</v>
      </c>
      <c r="B97" s="13"/>
      <c r="D97" s="13"/>
      <c r="F97" s="4"/>
    </row>
    <row r="98" spans="1:6" ht="12.75">
      <c r="A98" t="s">
        <v>8</v>
      </c>
      <c r="B98" s="13">
        <f>ROUND(1312325/12*9,2)</f>
        <v>984243.75</v>
      </c>
      <c r="D98" s="13">
        <v>984243.75</v>
      </c>
      <c r="F98" s="7">
        <f>IF(D98=0,0,ROUND((B98-D98)/D98,4))</f>
        <v>0</v>
      </c>
    </row>
    <row r="99" spans="1:6" ht="12.75">
      <c r="A99" t="s">
        <v>9</v>
      </c>
      <c r="B99" s="4">
        <f>ROUND((1502886.07)/12*9,2)</f>
        <v>1127164.55</v>
      </c>
      <c r="D99" s="4">
        <v>1146531.24</v>
      </c>
      <c r="F99" s="7">
        <f>IF(D99=0,0,ROUND((B99-D99)/D99,4))</f>
        <v>-0.0169</v>
      </c>
    </row>
    <row r="100" spans="1:6" ht="12.75">
      <c r="A100" t="s">
        <v>31</v>
      </c>
      <c r="B100" s="13">
        <f>+B98+B99</f>
        <v>2111408.3</v>
      </c>
      <c r="C100" s="13"/>
      <c r="D100" s="13">
        <f>+D98+D99</f>
        <v>2130774.99</v>
      </c>
      <c r="F100" s="7">
        <f>IF(D100=0,0,ROUND((B100-D100)/D100,4))</f>
        <v>-0.0091</v>
      </c>
    </row>
    <row r="101" spans="1:4" ht="12.75">
      <c r="A101" t="s">
        <v>28</v>
      </c>
      <c r="B101" s="7">
        <f>ROUND(B91/B98,3)</f>
        <v>0.814</v>
      </c>
      <c r="D101" s="7">
        <f>ROUND(D91/D98,3)</f>
        <v>0.777</v>
      </c>
    </row>
    <row r="102" spans="1:4" ht="12.75">
      <c r="A102" t="s">
        <v>29</v>
      </c>
      <c r="B102" s="7">
        <f>ROUND(B92/B99,3)</f>
        <v>0.526</v>
      </c>
      <c r="D102" s="7">
        <f>ROUND(D92/D99,3)</f>
        <v>0.524</v>
      </c>
    </row>
    <row r="103" spans="1:4" ht="12.75">
      <c r="A103" t="s">
        <v>30</v>
      </c>
      <c r="B103" s="7">
        <f>ROUND(B93/B100,3)</f>
        <v>0.66</v>
      </c>
      <c r="D103" s="7">
        <f>ROUND(D93/D100,3)</f>
        <v>0.641</v>
      </c>
    </row>
    <row r="108" spans="2:6" ht="12.75">
      <c r="B108" s="6"/>
      <c r="C108" s="5"/>
      <c r="D108" s="6"/>
      <c r="F108" s="7"/>
    </row>
    <row r="109" spans="2:6" ht="12.75">
      <c r="B109" s="6"/>
      <c r="C109" s="5"/>
      <c r="D109" s="6"/>
      <c r="F109" s="7"/>
    </row>
    <row r="110" spans="2:4" ht="12.75">
      <c r="B110" s="4"/>
      <c r="C110" s="4"/>
      <c r="D110" s="4"/>
    </row>
    <row r="111" spans="1:4" ht="12.75">
      <c r="A111" s="1"/>
      <c r="B111" s="4"/>
      <c r="C111" s="4"/>
      <c r="D111" s="4"/>
    </row>
    <row r="112" spans="2:6" ht="12.75">
      <c r="B112" s="5"/>
      <c r="C112" s="5"/>
      <c r="D112" s="5"/>
      <c r="F112" s="7"/>
    </row>
    <row r="113" spans="2:6" ht="12.75">
      <c r="B113" s="6"/>
      <c r="C113" s="5"/>
      <c r="D113" s="6"/>
      <c r="F113" s="7"/>
    </row>
    <row r="114" spans="2:6" ht="12.75">
      <c r="B114" s="6"/>
      <c r="C114" s="5"/>
      <c r="D114" s="6"/>
      <c r="F114" s="7"/>
    </row>
    <row r="115" spans="2:6" ht="12.75">
      <c r="B115" s="6"/>
      <c r="C115" s="5"/>
      <c r="D115" s="6"/>
      <c r="F115" s="7"/>
    </row>
    <row r="116" spans="2:6" ht="12.75">
      <c r="B116" s="6"/>
      <c r="C116" s="5"/>
      <c r="D116" s="6"/>
      <c r="F116" s="7"/>
    </row>
    <row r="117" spans="2:4" ht="12.75">
      <c r="B117" s="4"/>
      <c r="C117" s="4"/>
      <c r="D117" s="4"/>
    </row>
    <row r="118" spans="1:4" ht="12.75">
      <c r="A118" s="1"/>
      <c r="B118" s="4"/>
      <c r="C118" s="4"/>
      <c r="D118" s="4"/>
    </row>
    <row r="119" spans="2:6" ht="12.75">
      <c r="B119" s="5"/>
      <c r="C119" s="5"/>
      <c r="D119" s="5"/>
      <c r="F119" s="7"/>
    </row>
    <row r="120" spans="2:6" ht="12.75">
      <c r="B120" s="6"/>
      <c r="C120" s="5"/>
      <c r="D120" s="6"/>
      <c r="F120" s="7"/>
    </row>
    <row r="121" spans="2:6" ht="12.75">
      <c r="B121" s="6"/>
      <c r="C121" s="5"/>
      <c r="D121" s="6"/>
      <c r="F121" s="7"/>
    </row>
    <row r="122" spans="2:6" ht="12.75">
      <c r="B122" s="6"/>
      <c r="C122" s="5"/>
      <c r="D122" s="6"/>
      <c r="F122" s="7"/>
    </row>
    <row r="123" spans="2:6" ht="12.75">
      <c r="B123" s="6"/>
      <c r="C123" s="5"/>
      <c r="D123" s="6"/>
      <c r="F123" s="7"/>
    </row>
    <row r="124" spans="2:4" ht="12.75">
      <c r="B124" s="4"/>
      <c r="C124" s="4"/>
      <c r="D124" s="4"/>
    </row>
    <row r="127" spans="1:6" ht="12.75">
      <c r="A127" s="21"/>
      <c r="B127" s="21"/>
      <c r="C127" s="21"/>
      <c r="D127" s="21"/>
      <c r="E127" s="21"/>
      <c r="F127" s="21"/>
    </row>
    <row r="128" spans="1:6" ht="12.75">
      <c r="A128" s="21"/>
      <c r="B128" s="21"/>
      <c r="C128" s="21"/>
      <c r="D128" s="21"/>
      <c r="E128" s="21"/>
      <c r="F128" s="21"/>
    </row>
    <row r="129" spans="1:6" ht="12.75">
      <c r="A129" s="22"/>
      <c r="B129" s="23"/>
      <c r="C129" s="23"/>
      <c r="D129" s="23"/>
      <c r="E129" s="23"/>
      <c r="F129" s="23"/>
    </row>
    <row r="130" ht="12.75">
      <c r="F130" s="1"/>
    </row>
    <row r="132" spans="2:6" ht="12.75">
      <c r="B132" s="3"/>
      <c r="C132" s="3"/>
      <c r="D132" s="3"/>
      <c r="E132" s="3"/>
      <c r="F132" s="2"/>
    </row>
    <row r="133" spans="2:6" ht="12.75"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6" spans="1:4" ht="12.75">
      <c r="A136" s="1"/>
      <c r="B136" s="4"/>
      <c r="C136" s="4"/>
      <c r="D136" s="4"/>
    </row>
    <row r="137" spans="2:6" ht="12.75">
      <c r="B137" s="5"/>
      <c r="C137" s="5"/>
      <c r="D137" s="5"/>
      <c r="F137" s="7"/>
    </row>
    <row r="138" spans="2:6" ht="12.75">
      <c r="B138" s="6"/>
      <c r="C138" s="5"/>
      <c r="D138" s="6"/>
      <c r="F138" s="7"/>
    </row>
    <row r="139" spans="2:6" ht="12.75">
      <c r="B139" s="6"/>
      <c r="C139" s="5"/>
      <c r="D139" s="6"/>
      <c r="F139" s="7"/>
    </row>
    <row r="140" spans="2:6" ht="12.75">
      <c r="B140" s="6"/>
      <c r="C140" s="5"/>
      <c r="D140" s="6"/>
      <c r="F140" s="7"/>
    </row>
    <row r="141" spans="2:6" ht="12.75">
      <c r="B141" s="6"/>
      <c r="C141" s="5"/>
      <c r="D141" s="6"/>
      <c r="F141" s="7"/>
    </row>
    <row r="143" spans="1:4" ht="12.75">
      <c r="A143" s="1"/>
      <c r="B143" s="4"/>
      <c r="C143" s="4"/>
      <c r="D143" s="4"/>
    </row>
    <row r="144" spans="2:6" ht="12.75">
      <c r="B144" s="5"/>
      <c r="C144" s="5"/>
      <c r="D144" s="5"/>
      <c r="F144" s="7"/>
    </row>
    <row r="145" spans="2:6" ht="12.75">
      <c r="B145" s="6"/>
      <c r="C145" s="5"/>
      <c r="D145" s="6"/>
      <c r="F145" s="7"/>
    </row>
    <row r="146" spans="2:6" ht="12.75">
      <c r="B146" s="6"/>
      <c r="C146" s="5"/>
      <c r="D146" s="6"/>
      <c r="F146" s="7"/>
    </row>
    <row r="147" spans="2:6" ht="12.75">
      <c r="B147" s="6"/>
      <c r="C147" s="5"/>
      <c r="D147" s="6"/>
      <c r="F147" s="7"/>
    </row>
    <row r="148" spans="2:6" ht="12.75">
      <c r="B148" s="6"/>
      <c r="C148" s="5"/>
      <c r="D148" s="6"/>
      <c r="F148" s="7"/>
    </row>
    <row r="150" spans="1:4" ht="12.75">
      <c r="A150" s="1"/>
      <c r="B150" s="4"/>
      <c r="C150" s="4"/>
      <c r="D150" s="4"/>
    </row>
    <row r="151" spans="2:6" ht="12.75">
      <c r="B151" s="5"/>
      <c r="C151" s="5"/>
      <c r="D151" s="5"/>
      <c r="F151" s="7"/>
    </row>
    <row r="152" spans="2:6" ht="12.75">
      <c r="B152" s="6"/>
      <c r="C152" s="5"/>
      <c r="D152" s="6"/>
      <c r="F152" s="7"/>
    </row>
    <row r="153" spans="2:6" ht="12.75">
      <c r="B153" s="6"/>
      <c r="C153" s="5"/>
      <c r="D153" s="6"/>
      <c r="F153" s="7"/>
    </row>
    <row r="154" spans="2:6" ht="12.75">
      <c r="B154" s="6"/>
      <c r="C154" s="5"/>
      <c r="D154" s="6"/>
      <c r="F154" s="7"/>
    </row>
    <row r="155" spans="2:6" ht="12.75">
      <c r="B155" s="6"/>
      <c r="C155" s="5"/>
      <c r="D155" s="6"/>
      <c r="F155" s="7"/>
    </row>
    <row r="157" ht="12.75">
      <c r="A157" s="1"/>
    </row>
    <row r="158" spans="2:6" ht="12.75">
      <c r="B158" s="14"/>
      <c r="D158" s="5"/>
      <c r="F158" s="7"/>
    </row>
    <row r="159" spans="2:6" ht="12.75">
      <c r="B159" s="9"/>
      <c r="D159" s="6"/>
      <c r="F159" s="7"/>
    </row>
    <row r="160" spans="2:6" ht="12.75">
      <c r="B160" s="9"/>
      <c r="D160" s="6"/>
      <c r="F160" s="7"/>
    </row>
    <row r="161" spans="2:6" ht="12.75">
      <c r="B161" s="9"/>
      <c r="D161" s="6"/>
      <c r="F161" s="7"/>
    </row>
    <row r="162" spans="2:6" ht="12.75">
      <c r="B162" s="9"/>
      <c r="D162" s="6"/>
      <c r="F162" s="7"/>
    </row>
  </sheetData>
  <sheetProtection/>
  <mergeCells count="9">
    <mergeCell ref="A127:F127"/>
    <mergeCell ref="A128:F128"/>
    <mergeCell ref="A129:F129"/>
    <mergeCell ref="A1:F1"/>
    <mergeCell ref="A67:F67"/>
    <mergeCell ref="A68:F68"/>
    <mergeCell ref="A69:F69"/>
    <mergeCell ref="A2:F2"/>
    <mergeCell ref="A3:F3"/>
  </mergeCells>
  <printOptions horizontalCentered="1" verticalCentered="1"/>
  <pageMargins left="0.5" right="0.15" top="0.15" bottom="0.15" header="0" footer="0"/>
  <pageSetup horizontalDpi="600" verticalDpi="600" orientation="portrait" scale="85" r:id="rId3"/>
  <rowBreaks count="1" manualBreakCount="1">
    <brk id="6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0.7109375" style="0" customWidth="1"/>
    <col min="2" max="4" width="13.7109375" style="0" customWidth="1"/>
    <col min="5" max="5" width="7.7109375" style="0" customWidth="1"/>
    <col min="6" max="6" width="8.7109375" style="0" customWidth="1"/>
    <col min="8" max="8" width="9.28125" style="0" bestFit="1" customWidth="1"/>
  </cols>
  <sheetData>
    <row r="1" spans="1:6" ht="12.75">
      <c r="A1" s="21" t="s">
        <v>12</v>
      </c>
      <c r="B1" s="21"/>
      <c r="C1" s="21"/>
      <c r="D1" s="21"/>
      <c r="E1" s="21"/>
      <c r="F1" s="21"/>
    </row>
    <row r="2" spans="1:15" ht="12.75">
      <c r="A2" s="21" t="s">
        <v>24</v>
      </c>
      <c r="B2" s="21"/>
      <c r="C2" s="21"/>
      <c r="D2" s="21"/>
      <c r="E2" s="21"/>
      <c r="F2" s="21"/>
      <c r="N2" t="s">
        <v>23</v>
      </c>
      <c r="O2">
        <v>9</v>
      </c>
    </row>
    <row r="3" spans="1:6" ht="12.75">
      <c r="A3" s="22" t="s">
        <v>141</v>
      </c>
      <c r="B3" s="21"/>
      <c r="C3" s="21"/>
      <c r="D3" s="21"/>
      <c r="E3" s="21"/>
      <c r="F3" s="21"/>
    </row>
    <row r="4" spans="1:6" ht="12.75">
      <c r="A4" s="8"/>
      <c r="B4" s="2"/>
      <c r="C4" s="2"/>
      <c r="D4" s="2"/>
      <c r="E4" s="2" t="s">
        <v>16</v>
      </c>
      <c r="F4" s="2"/>
    </row>
    <row r="5" spans="1:6" ht="12.75">
      <c r="A5" s="8"/>
      <c r="B5" s="2"/>
      <c r="C5" s="2"/>
      <c r="D5" s="2"/>
      <c r="E5" s="2"/>
      <c r="F5" s="2"/>
    </row>
    <row r="6" ht="12.75">
      <c r="F6" s="2" t="s">
        <v>20</v>
      </c>
    </row>
    <row r="7" spans="2:6" ht="12.75">
      <c r="B7" s="3" t="s">
        <v>77</v>
      </c>
      <c r="E7" s="2" t="s">
        <v>20</v>
      </c>
      <c r="F7" s="2" t="s">
        <v>22</v>
      </c>
    </row>
    <row r="8" spans="2:6" ht="12.75">
      <c r="B8" s="2" t="s">
        <v>19</v>
      </c>
      <c r="C8" s="21" t="s">
        <v>7</v>
      </c>
      <c r="D8" s="21"/>
      <c r="E8" s="2" t="s">
        <v>21</v>
      </c>
      <c r="F8" s="2" t="s">
        <v>6</v>
      </c>
    </row>
    <row r="9" spans="1:6" ht="12.75">
      <c r="A9" s="2" t="s">
        <v>17</v>
      </c>
      <c r="B9" s="2" t="s">
        <v>18</v>
      </c>
      <c r="C9" s="2" t="s">
        <v>18</v>
      </c>
      <c r="D9" s="2" t="s">
        <v>2</v>
      </c>
      <c r="E9" s="2" t="s">
        <v>18</v>
      </c>
      <c r="F9" s="2" t="s">
        <v>18</v>
      </c>
    </row>
    <row r="10" ht="12.75">
      <c r="A10" s="2"/>
    </row>
    <row r="11" ht="12.75">
      <c r="A11" s="1" t="s">
        <v>46</v>
      </c>
    </row>
    <row r="12" spans="1:6" ht="12.75">
      <c r="A12" s="16" t="s">
        <v>45</v>
      </c>
      <c r="B12" s="13">
        <v>55000</v>
      </c>
      <c r="C12" s="10">
        <f aca="true" t="shared" si="0" ref="C12:C17">ROUND(B12/12*$O$2,2)</f>
        <v>41250</v>
      </c>
      <c r="D12" s="13">
        <f>0+1025+955+3135+6658.71+416+7180+250</f>
        <v>19619.71</v>
      </c>
      <c r="E12" s="12">
        <f aca="true" t="shared" si="1" ref="E12:E26">ROUND(D12/C12*100,3)</f>
        <v>47.563</v>
      </c>
      <c r="F12" s="12">
        <f aca="true" t="shared" si="2" ref="F12:F26">ROUND(D12/B12*100,3)</f>
        <v>35.672</v>
      </c>
    </row>
    <row r="13" spans="1:6" ht="12.75">
      <c r="A13" s="18" t="s">
        <v>75</v>
      </c>
      <c r="B13" s="4">
        <v>3000</v>
      </c>
      <c r="C13" s="11">
        <f t="shared" si="0"/>
        <v>2250</v>
      </c>
      <c r="D13" s="4">
        <f>100+96.67+1040+116.66+25+2560+80</f>
        <v>4018.33</v>
      </c>
      <c r="E13" s="12">
        <f>ROUND(D13/C13*100,3)</f>
        <v>178.592</v>
      </c>
      <c r="F13" s="12">
        <f>ROUND(D13/B13*100,3)</f>
        <v>133.944</v>
      </c>
    </row>
    <row r="14" spans="1:6" ht="12.75">
      <c r="A14" s="18" t="s">
        <v>78</v>
      </c>
      <c r="B14" s="4">
        <v>2400</v>
      </c>
      <c r="C14" s="11">
        <f t="shared" si="0"/>
        <v>1800</v>
      </c>
      <c r="D14" s="4">
        <f>0+400+200+50+1525+125</f>
        <v>2300</v>
      </c>
      <c r="E14" s="12">
        <f>ROUND(D14/C14*100,3)</f>
        <v>127.778</v>
      </c>
      <c r="F14" s="12">
        <f>ROUND(D14/B14*100,3)</f>
        <v>95.833</v>
      </c>
    </row>
    <row r="15" spans="1:6" ht="12.75">
      <c r="A15" s="18" t="s">
        <v>79</v>
      </c>
      <c r="B15" s="4">
        <v>5000</v>
      </c>
      <c r="C15" s="11">
        <f t="shared" si="0"/>
        <v>3750</v>
      </c>
      <c r="D15" s="4">
        <f>0</f>
        <v>0</v>
      </c>
      <c r="E15" s="12">
        <f>ROUND(D15/C15*100,3)</f>
        <v>0</v>
      </c>
      <c r="F15" s="12">
        <f>ROUND(D15/B15*100,3)</f>
        <v>0</v>
      </c>
    </row>
    <row r="16" spans="1:6" ht="12.75">
      <c r="A16" s="18" t="s">
        <v>80</v>
      </c>
      <c r="B16" s="4">
        <v>1000</v>
      </c>
      <c r="C16" s="11">
        <f t="shared" si="0"/>
        <v>750</v>
      </c>
      <c r="D16" s="4">
        <f>0</f>
        <v>0</v>
      </c>
      <c r="E16" s="12">
        <f>ROUND(D16/C16*100,3)</f>
        <v>0</v>
      </c>
      <c r="F16" s="12">
        <f>ROUND(D16/B16*100,3)</f>
        <v>0</v>
      </c>
    </row>
    <row r="17" spans="1:6" ht="12.75">
      <c r="A17" s="18" t="s">
        <v>81</v>
      </c>
      <c r="B17" s="4">
        <v>1000</v>
      </c>
      <c r="C17" s="11">
        <f t="shared" si="0"/>
        <v>750</v>
      </c>
      <c r="D17" s="4">
        <f>0</f>
        <v>0</v>
      </c>
      <c r="E17" s="12">
        <f>ROUND(D17/C17*100,3)</f>
        <v>0</v>
      </c>
      <c r="F17" s="12">
        <f>ROUND(D17/B17*100,3)</f>
        <v>0</v>
      </c>
    </row>
    <row r="18" spans="1:6" ht="12.75">
      <c r="A18" t="s">
        <v>82</v>
      </c>
      <c r="B18" s="4">
        <v>18000</v>
      </c>
      <c r="C18" s="11">
        <f aca="true" t="shared" si="3" ref="C18:C73">ROUND(B18/12*$O$2,2)</f>
        <v>13500</v>
      </c>
      <c r="D18" s="4">
        <f>1216+1205+1700+800+5315+655+1105+1000+1055</f>
        <v>14051</v>
      </c>
      <c r="E18" s="12">
        <f t="shared" si="1"/>
        <v>104.081</v>
      </c>
      <c r="F18" s="12">
        <f t="shared" si="2"/>
        <v>78.061</v>
      </c>
    </row>
    <row r="19" spans="1:6" ht="12.75">
      <c r="A19" t="s">
        <v>83</v>
      </c>
      <c r="B19" s="4">
        <v>39000</v>
      </c>
      <c r="C19" s="11">
        <f t="shared" si="3"/>
        <v>29250</v>
      </c>
      <c r="D19" s="4">
        <f>840+1701+1415+1810+3700+2040+1250+830+4300</f>
        <v>17886</v>
      </c>
      <c r="E19" s="12">
        <f t="shared" si="1"/>
        <v>61.149</v>
      </c>
      <c r="F19" s="12">
        <f t="shared" si="2"/>
        <v>45.862</v>
      </c>
    </row>
    <row r="20" spans="1:6" ht="12.75">
      <c r="A20" t="s">
        <v>84</v>
      </c>
      <c r="B20" s="4">
        <v>12000</v>
      </c>
      <c r="C20" s="11">
        <f aca="true" t="shared" si="4" ref="C20:C25">ROUND(B20/12*$O$2,2)</f>
        <v>9000</v>
      </c>
      <c r="D20" s="4">
        <f>0+120+560+120+120+140</f>
        <v>1060</v>
      </c>
      <c r="E20" s="12">
        <f t="shared" si="1"/>
        <v>11.778</v>
      </c>
      <c r="F20" s="12">
        <f t="shared" si="2"/>
        <v>8.833</v>
      </c>
    </row>
    <row r="21" spans="1:6" ht="12.75">
      <c r="A21" t="s">
        <v>85</v>
      </c>
      <c r="B21" s="4">
        <v>8000</v>
      </c>
      <c r="C21" s="11">
        <f t="shared" si="4"/>
        <v>6000</v>
      </c>
      <c r="D21" s="4">
        <f>3297+2620+3860+500+1000+6000+2600</f>
        <v>19877</v>
      </c>
      <c r="E21" s="12">
        <f t="shared" si="1"/>
        <v>331.283</v>
      </c>
      <c r="F21" s="12">
        <f t="shared" si="2"/>
        <v>248.463</v>
      </c>
    </row>
    <row r="22" spans="1:6" ht="12.75">
      <c r="A22" t="s">
        <v>86</v>
      </c>
      <c r="B22" s="4">
        <v>40000</v>
      </c>
      <c r="C22" s="11">
        <f t="shared" si="4"/>
        <v>30000</v>
      </c>
      <c r="D22" s="4">
        <f>4029.5+4763+4255+5623.75+4948.75+4605+5305+1581.5+7503</f>
        <v>42614.5</v>
      </c>
      <c r="E22" s="12">
        <f t="shared" si="1"/>
        <v>142.048</v>
      </c>
      <c r="F22" s="12">
        <f t="shared" si="2"/>
        <v>106.536</v>
      </c>
    </row>
    <row r="23" spans="1:6" ht="12.75">
      <c r="A23" t="s">
        <v>87</v>
      </c>
      <c r="B23" s="4">
        <v>25000</v>
      </c>
      <c r="C23" s="11">
        <f t="shared" si="4"/>
        <v>18750</v>
      </c>
      <c r="D23" s="4">
        <f>120+1026+155+1377+503+379+903+2674+9168</f>
        <v>16305</v>
      </c>
      <c r="E23" s="12">
        <f t="shared" si="1"/>
        <v>86.96</v>
      </c>
      <c r="F23" s="12">
        <f t="shared" si="2"/>
        <v>65.22</v>
      </c>
    </row>
    <row r="24" spans="1:6" ht="12.75">
      <c r="A24" t="s">
        <v>88</v>
      </c>
      <c r="B24" s="4">
        <v>36000</v>
      </c>
      <c r="C24" s="11">
        <f t="shared" si="4"/>
        <v>27000</v>
      </c>
      <c r="D24" s="4">
        <f>2125+3031.66+1055+1436.66+605+1925+2345+915+1220</f>
        <v>14658.32</v>
      </c>
      <c r="E24" s="12">
        <f>ROUND(D24/C24*100,3)</f>
        <v>54.29</v>
      </c>
      <c r="F24" s="12">
        <f>ROUND(D24/B24*100,3)</f>
        <v>40.718</v>
      </c>
    </row>
    <row r="25" spans="1:6" ht="12.75">
      <c r="A25" t="s">
        <v>89</v>
      </c>
      <c r="B25" s="4">
        <v>15000</v>
      </c>
      <c r="C25" s="11">
        <f t="shared" si="4"/>
        <v>11250</v>
      </c>
      <c r="D25" s="4">
        <v>100</v>
      </c>
      <c r="E25" s="12">
        <f t="shared" si="1"/>
        <v>0.889</v>
      </c>
      <c r="F25" s="12">
        <f t="shared" si="2"/>
        <v>0.667</v>
      </c>
    </row>
    <row r="26" spans="1:6" ht="12.75">
      <c r="A26" t="s">
        <v>90</v>
      </c>
      <c r="B26" s="4">
        <v>25000</v>
      </c>
      <c r="C26" s="11">
        <f t="shared" si="3"/>
        <v>18750</v>
      </c>
      <c r="D26" s="4">
        <f>676.27+230+455+1005+305+1855+555+2305+305</f>
        <v>7691.27</v>
      </c>
      <c r="E26" s="12">
        <f t="shared" si="1"/>
        <v>41.02</v>
      </c>
      <c r="F26" s="12">
        <f t="shared" si="2"/>
        <v>30.765</v>
      </c>
    </row>
    <row r="27" spans="1:6" ht="12.75">
      <c r="A27" t="s">
        <v>91</v>
      </c>
      <c r="B27" s="4">
        <v>2400</v>
      </c>
      <c r="C27" s="11">
        <f t="shared" si="3"/>
        <v>1800</v>
      </c>
      <c r="D27" s="4">
        <f>0+400+2000</f>
        <v>2400</v>
      </c>
      <c r="E27" s="12">
        <f aca="true" t="shared" si="5" ref="E27:E73">ROUND(D27/C27*100,3)</f>
        <v>133.333</v>
      </c>
      <c r="F27" s="12">
        <f>ROUND(D27/B27*100,3)</f>
        <v>100</v>
      </c>
    </row>
    <row r="28" spans="1:6" ht="12.75">
      <c r="A28" t="s">
        <v>92</v>
      </c>
      <c r="B28" s="4">
        <v>1000</v>
      </c>
      <c r="C28" s="11">
        <f t="shared" si="3"/>
        <v>750</v>
      </c>
      <c r="D28" s="4">
        <f>0</f>
        <v>0</v>
      </c>
      <c r="E28" s="12">
        <f t="shared" si="5"/>
        <v>0</v>
      </c>
      <c r="F28" s="12">
        <f>ROUND(D28/B28*100,3)</f>
        <v>0</v>
      </c>
    </row>
    <row r="29" spans="1:6" ht="12.75">
      <c r="A29" t="s">
        <v>93</v>
      </c>
      <c r="B29" s="4">
        <v>1000</v>
      </c>
      <c r="C29" s="11">
        <f t="shared" si="3"/>
        <v>750</v>
      </c>
      <c r="D29" s="4">
        <f>0</f>
        <v>0</v>
      </c>
      <c r="E29" s="12">
        <f t="shared" si="5"/>
        <v>0</v>
      </c>
      <c r="F29" s="12">
        <f>ROUND(D29/B29*100,3)</f>
        <v>0</v>
      </c>
    </row>
    <row r="30" spans="1:6" ht="12.75">
      <c r="A30" t="s">
        <v>47</v>
      </c>
      <c r="B30" s="4">
        <v>20000</v>
      </c>
      <c r="C30" s="11">
        <f t="shared" si="3"/>
        <v>15000</v>
      </c>
      <c r="D30" s="4">
        <f>95+516+80</f>
        <v>691</v>
      </c>
      <c r="E30" s="12">
        <f t="shared" si="5"/>
        <v>4.607</v>
      </c>
      <c r="F30" s="12">
        <f aca="true" t="shared" si="6" ref="F30:F73">ROUND(D30/B30*100,3)</f>
        <v>3.455</v>
      </c>
    </row>
    <row r="31" spans="1:6" ht="12.75">
      <c r="A31" t="s">
        <v>118</v>
      </c>
      <c r="B31" s="4">
        <v>2000</v>
      </c>
      <c r="C31" s="11">
        <f t="shared" si="3"/>
        <v>1500</v>
      </c>
      <c r="D31" s="4">
        <f>0+136.66+340+156.68+1999+90+190+90</f>
        <v>3002.34</v>
      </c>
      <c r="E31" s="12">
        <f t="shared" si="5"/>
        <v>200.156</v>
      </c>
      <c r="F31" s="12">
        <f t="shared" si="6"/>
        <v>150.117</v>
      </c>
    </row>
    <row r="32" spans="1:6" ht="12.75">
      <c r="A32" t="s">
        <v>119</v>
      </c>
      <c r="B32" s="4">
        <v>2400</v>
      </c>
      <c r="C32" s="11">
        <f>ROUND(B32/12*$O$2,2)</f>
        <v>1800</v>
      </c>
      <c r="D32" s="4">
        <f>0+400+3000</f>
        <v>3400</v>
      </c>
      <c r="E32" s="12">
        <f t="shared" si="5"/>
        <v>188.889</v>
      </c>
      <c r="F32" s="12">
        <f aca="true" t="shared" si="7" ref="F32:F37">ROUND(D32/B32*100,3)</f>
        <v>141.667</v>
      </c>
    </row>
    <row r="33" spans="1:6" ht="12.75">
      <c r="A33" t="s">
        <v>120</v>
      </c>
      <c r="B33" s="4">
        <v>5000</v>
      </c>
      <c r="C33" s="11">
        <f>ROUND(B33/12*$O$2,2)</f>
        <v>3750</v>
      </c>
      <c r="D33" s="4">
        <f>0+1000</f>
        <v>1000</v>
      </c>
      <c r="E33" s="12">
        <f t="shared" si="5"/>
        <v>26.667</v>
      </c>
      <c r="F33" s="12">
        <f t="shared" si="7"/>
        <v>20</v>
      </c>
    </row>
    <row r="34" spans="1:6" ht="12.75">
      <c r="A34" t="s">
        <v>121</v>
      </c>
      <c r="B34" s="4">
        <v>1000</v>
      </c>
      <c r="C34" s="11">
        <f>ROUND(B34/12*$O$2,2)</f>
        <v>750</v>
      </c>
      <c r="D34" s="4">
        <f>0</f>
        <v>0</v>
      </c>
      <c r="E34" s="12">
        <f t="shared" si="5"/>
        <v>0</v>
      </c>
      <c r="F34" s="12">
        <f t="shared" si="7"/>
        <v>0</v>
      </c>
    </row>
    <row r="35" spans="1:6" ht="12.75">
      <c r="A35" t="s">
        <v>122</v>
      </c>
      <c r="B35" s="4">
        <v>1000</v>
      </c>
      <c r="C35" s="11">
        <f>ROUND(B35/12*$O$2,2)</f>
        <v>750</v>
      </c>
      <c r="D35" s="4">
        <f>0</f>
        <v>0</v>
      </c>
      <c r="E35" s="12">
        <f t="shared" si="5"/>
        <v>0</v>
      </c>
      <c r="F35" s="12">
        <f t="shared" si="7"/>
        <v>0</v>
      </c>
    </row>
    <row r="36" spans="1:6" ht="12.75">
      <c r="A36" t="s">
        <v>72</v>
      </c>
      <c r="B36" s="4">
        <v>8000</v>
      </c>
      <c r="C36" s="11">
        <f t="shared" si="3"/>
        <v>6000</v>
      </c>
      <c r="D36" s="4">
        <f>7300+1008+550+50</f>
        <v>8908</v>
      </c>
      <c r="E36" s="12">
        <f t="shared" si="5"/>
        <v>148.467</v>
      </c>
      <c r="F36" s="12">
        <f t="shared" si="7"/>
        <v>111.35</v>
      </c>
    </row>
    <row r="37" spans="1:6" ht="12.75">
      <c r="A37" t="s">
        <v>113</v>
      </c>
      <c r="B37" s="4">
        <v>4000</v>
      </c>
      <c r="C37" s="11">
        <f>ROUND(B37/12*$O$2,2)</f>
        <v>3000</v>
      </c>
      <c r="D37" s="4">
        <f>0+25+100</f>
        <v>125</v>
      </c>
      <c r="E37" s="12">
        <f t="shared" si="5"/>
        <v>4.167</v>
      </c>
      <c r="F37" s="12">
        <f t="shared" si="7"/>
        <v>3.125</v>
      </c>
    </row>
    <row r="38" spans="1:8" ht="12.75">
      <c r="A38" t="s">
        <v>94</v>
      </c>
      <c r="B38" s="4">
        <v>45000</v>
      </c>
      <c r="C38" s="11">
        <f t="shared" si="3"/>
        <v>33750</v>
      </c>
      <c r="D38" s="4">
        <f>2210+3677.51+7801.71+4748.33+3428.33+1442.01+351.67+750+909.36</f>
        <v>25318.920000000002</v>
      </c>
      <c r="E38" s="12">
        <f t="shared" si="5"/>
        <v>75.019</v>
      </c>
      <c r="F38" s="12">
        <f t="shared" si="6"/>
        <v>56.264</v>
      </c>
      <c r="H38" s="4"/>
    </row>
    <row r="39" spans="1:8" ht="12.75">
      <c r="A39" t="s">
        <v>95</v>
      </c>
      <c r="B39" s="4">
        <v>51000</v>
      </c>
      <c r="C39" s="11">
        <f t="shared" si="3"/>
        <v>38250</v>
      </c>
      <c r="D39" s="4">
        <f>25+5757.47+175+2706+100+50+638.5+1575+100</f>
        <v>11126.970000000001</v>
      </c>
      <c r="E39" s="12">
        <f t="shared" si="5"/>
        <v>29.09</v>
      </c>
      <c r="F39" s="12">
        <f t="shared" si="6"/>
        <v>21.818</v>
      </c>
      <c r="H39" s="4"/>
    </row>
    <row r="40" spans="1:6" ht="12.75">
      <c r="A40" t="s">
        <v>96</v>
      </c>
      <c r="B40" s="4">
        <v>35000</v>
      </c>
      <c r="C40" s="11">
        <f t="shared" si="3"/>
        <v>26250</v>
      </c>
      <c r="D40" s="4">
        <f>580+1559.38+880+2605+1035+880.02+960+1055+880</f>
        <v>10434.4</v>
      </c>
      <c r="E40" s="12">
        <f t="shared" si="5"/>
        <v>39.75</v>
      </c>
      <c r="F40" s="12">
        <f t="shared" si="6"/>
        <v>29.813</v>
      </c>
    </row>
    <row r="41" spans="1:6" ht="12.75">
      <c r="A41" t="s">
        <v>97</v>
      </c>
      <c r="B41" s="4">
        <v>25000</v>
      </c>
      <c r="C41" s="11">
        <f>ROUND(B41/12*$O$2,2)</f>
        <v>18750</v>
      </c>
      <c r="D41" s="4">
        <f>2468.09+63+63+63+63+63+63+63+63</f>
        <v>2972.09</v>
      </c>
      <c r="E41" s="12">
        <f t="shared" si="5"/>
        <v>15.851</v>
      </c>
      <c r="F41" s="12">
        <f t="shared" si="6"/>
        <v>11.888</v>
      </c>
    </row>
    <row r="42" spans="1:6" ht="12.75">
      <c r="A42" t="s">
        <v>98</v>
      </c>
      <c r="B42" s="4">
        <v>1800</v>
      </c>
      <c r="C42" s="11">
        <f>ROUND(B42/12*$O$2,2)</f>
        <v>1350</v>
      </c>
      <c r="D42" s="4">
        <f>0+75+2031+300+75+75+86+880+75</f>
        <v>3597</v>
      </c>
      <c r="E42" s="12">
        <f t="shared" si="5"/>
        <v>266.444</v>
      </c>
      <c r="F42" s="12">
        <f t="shared" si="6"/>
        <v>199.833</v>
      </c>
    </row>
    <row r="43" spans="1:6" ht="12.75">
      <c r="A43" t="s">
        <v>99</v>
      </c>
      <c r="B43" s="4">
        <v>12600</v>
      </c>
      <c r="C43" s="11">
        <f>ROUND(B43/12*$O$2,2)</f>
        <v>9450</v>
      </c>
      <c r="D43" s="4">
        <f>200+250+250+1450+900+250+275+250+625</f>
        <v>4450</v>
      </c>
      <c r="E43" s="12">
        <f t="shared" si="5"/>
        <v>47.09</v>
      </c>
      <c r="F43" s="12">
        <f>ROUND(D43/B43*100,3)</f>
        <v>35.317</v>
      </c>
    </row>
    <row r="44" spans="1:6" ht="12.75">
      <c r="A44" t="s">
        <v>100</v>
      </c>
      <c r="B44" s="4">
        <v>36000</v>
      </c>
      <c r="C44" s="11">
        <f>ROUND(B44/12*$O$2,2)</f>
        <v>27000</v>
      </c>
      <c r="D44" s="4">
        <f>1140+5594.17+3488.33+3909.09+2375.43+2603.33+2378.75+932.01+650.67</f>
        <v>23071.779999999995</v>
      </c>
      <c r="E44" s="12">
        <f t="shared" si="5"/>
        <v>85.451</v>
      </c>
      <c r="F44" s="12">
        <f t="shared" si="6"/>
        <v>64.088</v>
      </c>
    </row>
    <row r="45" spans="1:6" ht="12.75">
      <c r="A45" t="s">
        <v>101</v>
      </c>
      <c r="B45" s="4">
        <v>110000</v>
      </c>
      <c r="C45" s="11">
        <f>ROUND(B45/12*$O$2,2)</f>
        <v>82500</v>
      </c>
      <c r="D45" s="4">
        <f>0+250+250</f>
        <v>500</v>
      </c>
      <c r="E45" s="12">
        <f t="shared" si="5"/>
        <v>0.606</v>
      </c>
      <c r="F45" s="12">
        <f t="shared" si="6"/>
        <v>0.455</v>
      </c>
    </row>
    <row r="46" spans="1:6" ht="12.75">
      <c r="A46" t="s">
        <v>102</v>
      </c>
      <c r="B46" s="4">
        <v>15000</v>
      </c>
      <c r="C46" s="11">
        <f t="shared" si="3"/>
        <v>11250</v>
      </c>
      <c r="D46" s="4">
        <f>2170+25+25+25+25+2600</f>
        <v>4870</v>
      </c>
      <c r="E46" s="12">
        <f t="shared" si="5"/>
        <v>43.289</v>
      </c>
      <c r="F46" s="12">
        <f t="shared" si="6"/>
        <v>32.467</v>
      </c>
    </row>
    <row r="47" spans="1:6" ht="12.75">
      <c r="A47" t="s">
        <v>103</v>
      </c>
      <c r="B47" s="4">
        <v>5400</v>
      </c>
      <c r="C47" s="11">
        <f t="shared" si="3"/>
        <v>4050</v>
      </c>
      <c r="D47" s="4">
        <f>100+195+380+200+235+95+195+250+195</f>
        <v>1845</v>
      </c>
      <c r="E47" s="12">
        <f t="shared" si="5"/>
        <v>45.556</v>
      </c>
      <c r="F47" s="12">
        <f t="shared" si="6"/>
        <v>34.167</v>
      </c>
    </row>
    <row r="48" spans="1:6" ht="12.75">
      <c r="A48" t="s">
        <v>48</v>
      </c>
      <c r="B48" s="4">
        <v>2500</v>
      </c>
      <c r="C48" s="11">
        <f t="shared" si="3"/>
        <v>1875</v>
      </c>
      <c r="D48" s="4">
        <f>0</f>
        <v>0</v>
      </c>
      <c r="E48" s="12">
        <f t="shared" si="5"/>
        <v>0</v>
      </c>
      <c r="F48" s="12">
        <f t="shared" si="6"/>
        <v>0</v>
      </c>
    </row>
    <row r="49" spans="1:6" ht="12.75">
      <c r="A49" t="s">
        <v>114</v>
      </c>
      <c r="B49" s="4">
        <v>5000</v>
      </c>
      <c r="C49" s="11">
        <f>ROUND(B49/12*$O$2,2)</f>
        <v>3750</v>
      </c>
      <c r="D49" s="4">
        <f>50+209.09+50+385+270+150+365+200+490</f>
        <v>2169.09</v>
      </c>
      <c r="E49" s="12">
        <f t="shared" si="5"/>
        <v>57.842</v>
      </c>
      <c r="F49" s="12">
        <f>ROUND(D49/B49*100,3)</f>
        <v>43.382</v>
      </c>
    </row>
    <row r="50" spans="1:6" ht="12.75">
      <c r="A50" t="s">
        <v>115</v>
      </c>
      <c r="B50" s="4">
        <v>5000</v>
      </c>
      <c r="C50" s="11">
        <f>ROUND(B50/12*$O$2,2)</f>
        <v>3750</v>
      </c>
      <c r="D50" s="4">
        <f>430+180+282.75+880+680+216+80+355+130</f>
        <v>3233.75</v>
      </c>
      <c r="E50" s="12">
        <f t="shared" si="5"/>
        <v>86.233</v>
      </c>
      <c r="F50" s="12">
        <f>ROUND(D50/B50*100,3)</f>
        <v>64.675</v>
      </c>
    </row>
    <row r="51" spans="1:6" ht="12.75">
      <c r="A51" t="s">
        <v>116</v>
      </c>
      <c r="B51" s="4">
        <v>5000</v>
      </c>
      <c r="C51" s="11">
        <f>ROUND(B51/12*$O$2,2)</f>
        <v>3750</v>
      </c>
      <c r="D51" s="4">
        <f>0+13+250+172+50</f>
        <v>485</v>
      </c>
      <c r="E51" s="12">
        <f t="shared" si="5"/>
        <v>12.933</v>
      </c>
      <c r="F51" s="12">
        <f>ROUND(D51/B51*100,3)</f>
        <v>9.7</v>
      </c>
    </row>
    <row r="52" spans="1:6" ht="12.75">
      <c r="A52" t="s">
        <v>104</v>
      </c>
      <c r="B52" s="11">
        <v>58000</v>
      </c>
      <c r="C52" s="11">
        <f t="shared" si="3"/>
        <v>43500</v>
      </c>
      <c r="D52" s="4">
        <f>1776.5+9714.67+11395+2365.41+2103.75+2905+5200+6106.5+2343</f>
        <v>43909.83</v>
      </c>
      <c r="E52" s="12">
        <f t="shared" si="5"/>
        <v>100.942</v>
      </c>
      <c r="F52" s="12">
        <f t="shared" si="6"/>
        <v>75.707</v>
      </c>
    </row>
    <row r="53" spans="1:6" ht="12.75">
      <c r="A53" t="s">
        <v>105</v>
      </c>
      <c r="B53" s="11">
        <v>18000</v>
      </c>
      <c r="C53" s="11">
        <f t="shared" si="3"/>
        <v>13500</v>
      </c>
      <c r="D53" s="4">
        <f>788+913+1488+2343+1493+568+768+1193+718</f>
        <v>10272</v>
      </c>
      <c r="E53" s="12">
        <f t="shared" si="5"/>
        <v>76.089</v>
      </c>
      <c r="F53" s="12">
        <f t="shared" si="6"/>
        <v>57.067</v>
      </c>
    </row>
    <row r="54" spans="1:6" ht="12.75">
      <c r="A54" t="s">
        <v>106</v>
      </c>
      <c r="B54" s="4">
        <v>10000</v>
      </c>
      <c r="C54" s="11">
        <f t="shared" si="3"/>
        <v>7500</v>
      </c>
      <c r="D54" s="4">
        <f>0+500+1500+700</f>
        <v>2700</v>
      </c>
      <c r="E54" s="12">
        <f t="shared" si="5"/>
        <v>36</v>
      </c>
      <c r="F54" s="12">
        <f t="shared" si="6"/>
        <v>27</v>
      </c>
    </row>
    <row r="55" spans="1:6" ht="12.75">
      <c r="A55" t="s">
        <v>107</v>
      </c>
      <c r="B55" s="4">
        <v>8000</v>
      </c>
      <c r="C55" s="11">
        <f t="shared" si="3"/>
        <v>6000</v>
      </c>
      <c r="D55" s="4">
        <f>1578.29+250+683+25</f>
        <v>2536.29</v>
      </c>
      <c r="E55" s="12">
        <f t="shared" si="5"/>
        <v>42.272</v>
      </c>
      <c r="F55" s="12">
        <f t="shared" si="6"/>
        <v>31.704</v>
      </c>
    </row>
    <row r="56" spans="1:6" ht="12.75">
      <c r="A56" t="s">
        <v>108</v>
      </c>
      <c r="B56" s="4">
        <v>24000</v>
      </c>
      <c r="C56" s="11">
        <f t="shared" si="3"/>
        <v>18000</v>
      </c>
      <c r="D56" s="4">
        <f>2009+1295+1357+1791+1510+936+2466+830+796</f>
        <v>12990</v>
      </c>
      <c r="E56" s="12">
        <f t="shared" si="5"/>
        <v>72.167</v>
      </c>
      <c r="F56" s="12">
        <f t="shared" si="6"/>
        <v>54.125</v>
      </c>
    </row>
    <row r="57" spans="1:6" ht="12.75">
      <c r="A57" t="s">
        <v>109</v>
      </c>
      <c r="B57" s="4">
        <v>8000</v>
      </c>
      <c r="C57" s="11">
        <f t="shared" si="3"/>
        <v>6000</v>
      </c>
      <c r="D57" s="4">
        <f>0+236+140.75+361.05+513</f>
        <v>1250.8</v>
      </c>
      <c r="E57" s="12">
        <f t="shared" si="5"/>
        <v>20.847</v>
      </c>
      <c r="F57" s="12">
        <f>ROUND(D57/B57*100,3)</f>
        <v>15.635</v>
      </c>
    </row>
    <row r="58" spans="1:6" ht="12.75">
      <c r="A58" t="s">
        <v>49</v>
      </c>
      <c r="B58" s="4">
        <v>3000</v>
      </c>
      <c r="C58" s="11">
        <f t="shared" si="3"/>
        <v>2250</v>
      </c>
      <c r="D58" s="4">
        <f>0</f>
        <v>0</v>
      </c>
      <c r="E58" s="12">
        <f t="shared" si="5"/>
        <v>0</v>
      </c>
      <c r="F58" s="12">
        <f t="shared" si="6"/>
        <v>0</v>
      </c>
    </row>
    <row r="59" spans="1:6" ht="12.75">
      <c r="A59" t="s">
        <v>51</v>
      </c>
      <c r="B59" s="4">
        <v>9200</v>
      </c>
      <c r="C59" s="11">
        <f t="shared" si="3"/>
        <v>6900</v>
      </c>
      <c r="D59" s="4">
        <f>150+150+150+750+150+150+150+1215.13+260</f>
        <v>3125.13</v>
      </c>
      <c r="E59" s="12">
        <f t="shared" si="5"/>
        <v>45.292</v>
      </c>
      <c r="F59" s="12">
        <f t="shared" si="6"/>
        <v>33.969</v>
      </c>
    </row>
    <row r="60" spans="1:6" ht="12.75">
      <c r="A60" t="s">
        <v>50</v>
      </c>
      <c r="B60" s="4">
        <v>5000</v>
      </c>
      <c r="C60" s="11">
        <f>ROUND(B60/12*$O$2,2)</f>
        <v>3750</v>
      </c>
      <c r="D60" s="4">
        <f>0+400</f>
        <v>400</v>
      </c>
      <c r="E60" s="12">
        <f t="shared" si="5"/>
        <v>10.667</v>
      </c>
      <c r="F60" s="12">
        <f>ROUND(D60/B60*100,3)</f>
        <v>8</v>
      </c>
    </row>
    <row r="61" spans="1:6" ht="12.75">
      <c r="A61" t="s">
        <v>110</v>
      </c>
      <c r="B61" s="4">
        <v>4800</v>
      </c>
      <c r="C61" s="11">
        <f>ROUND(B61/12*$O$2,2)</f>
        <v>3600</v>
      </c>
      <c r="D61" s="4">
        <f>0+690+750+3000+204</f>
        <v>4644</v>
      </c>
      <c r="E61" s="12">
        <f t="shared" si="5"/>
        <v>129</v>
      </c>
      <c r="F61" s="12">
        <f>ROUND(D61/B61*100,3)</f>
        <v>96.75</v>
      </c>
    </row>
    <row r="62" spans="1:6" ht="12.75">
      <c r="A62" t="s">
        <v>111</v>
      </c>
      <c r="B62" s="4">
        <v>3000</v>
      </c>
      <c r="C62" s="11">
        <f t="shared" si="3"/>
        <v>2250</v>
      </c>
      <c r="D62" s="4">
        <f>100+100+100+400+100+100+800+100+300</f>
        <v>2100</v>
      </c>
      <c r="E62" s="12">
        <f t="shared" si="5"/>
        <v>93.333</v>
      </c>
      <c r="F62" s="12">
        <f t="shared" si="6"/>
        <v>70</v>
      </c>
    </row>
    <row r="63" spans="1:6" ht="12.75">
      <c r="A63" t="s">
        <v>112</v>
      </c>
      <c r="B63" s="4">
        <v>1000</v>
      </c>
      <c r="C63" s="11">
        <f>ROUND(B63/12*$O$2,2)</f>
        <v>750</v>
      </c>
      <c r="D63" s="4">
        <f>0</f>
        <v>0</v>
      </c>
      <c r="E63" s="12">
        <f t="shared" si="5"/>
        <v>0</v>
      </c>
      <c r="F63" s="12">
        <f>ROUND(D63/B63*100,3)</f>
        <v>0</v>
      </c>
    </row>
    <row r="64" spans="1:6" ht="12.75">
      <c r="A64" t="s">
        <v>52</v>
      </c>
      <c r="B64" s="4">
        <v>15000</v>
      </c>
      <c r="C64" s="11">
        <f t="shared" si="3"/>
        <v>11250</v>
      </c>
      <c r="D64" s="4">
        <f>0+200+300+50+50+50+50+50</f>
        <v>750</v>
      </c>
      <c r="E64" s="12">
        <f t="shared" si="5"/>
        <v>6.667</v>
      </c>
      <c r="F64" s="12">
        <f t="shared" si="6"/>
        <v>5</v>
      </c>
    </row>
    <row r="65" spans="1:6" ht="12.75">
      <c r="A65" t="s">
        <v>74</v>
      </c>
      <c r="B65" s="4">
        <v>200000</v>
      </c>
      <c r="C65" s="11">
        <f t="shared" si="3"/>
        <v>150000</v>
      </c>
      <c r="D65" s="4">
        <f>0</f>
        <v>0</v>
      </c>
      <c r="E65" s="12">
        <f t="shared" si="5"/>
        <v>0</v>
      </c>
      <c r="F65" s="12">
        <f>ROUND(D65/B65*100,3)</f>
        <v>0</v>
      </c>
    </row>
    <row r="66" spans="1:6" ht="12.75">
      <c r="A66" t="s">
        <v>123</v>
      </c>
      <c r="B66" s="4">
        <v>3000</v>
      </c>
      <c r="C66" s="11">
        <f t="shared" si="3"/>
        <v>2250</v>
      </c>
      <c r="D66" s="4">
        <f>0+46.67+40+156.67+100+400</f>
        <v>743.3399999999999</v>
      </c>
      <c r="E66" s="12">
        <f t="shared" si="5"/>
        <v>33.037</v>
      </c>
      <c r="F66" s="12">
        <f t="shared" si="6"/>
        <v>24.778</v>
      </c>
    </row>
    <row r="67" spans="1:6" ht="12.75">
      <c r="A67" t="s">
        <v>124</v>
      </c>
      <c r="B67" s="4">
        <v>2400</v>
      </c>
      <c r="C67" s="11">
        <f>ROUND(B67/12*$O$2,2)</f>
        <v>1800</v>
      </c>
      <c r="D67" s="4">
        <f>0+200+2000</f>
        <v>2200</v>
      </c>
      <c r="E67" s="12">
        <f t="shared" si="5"/>
        <v>122.222</v>
      </c>
      <c r="F67" s="12">
        <f>ROUND(D67/B67*100,3)</f>
        <v>91.667</v>
      </c>
    </row>
    <row r="68" spans="1:6" ht="12.75">
      <c r="A68" t="s">
        <v>125</v>
      </c>
      <c r="B68" s="4">
        <v>5000</v>
      </c>
      <c r="C68" s="11">
        <f>ROUND(B68/12*$O$2,2)</f>
        <v>3750</v>
      </c>
      <c r="D68" s="4">
        <f>0</f>
        <v>0</v>
      </c>
      <c r="E68" s="12">
        <f t="shared" si="5"/>
        <v>0</v>
      </c>
      <c r="F68" s="12">
        <f>ROUND(D68/B68*100,3)</f>
        <v>0</v>
      </c>
    </row>
    <row r="69" spans="1:6" ht="12.75">
      <c r="A69" t="s">
        <v>126</v>
      </c>
      <c r="B69" s="4">
        <v>1000</v>
      </c>
      <c r="C69" s="11">
        <f>ROUND(B69/12*$O$2,2)</f>
        <v>750</v>
      </c>
      <c r="D69" s="4">
        <f>0</f>
        <v>0</v>
      </c>
      <c r="E69" s="12">
        <f t="shared" si="5"/>
        <v>0</v>
      </c>
      <c r="F69" s="12">
        <f>ROUND(D69/B69*100,3)</f>
        <v>0</v>
      </c>
    </row>
    <row r="70" spans="1:6" ht="12.75">
      <c r="A70" t="s">
        <v>127</v>
      </c>
      <c r="B70" s="4">
        <v>1000</v>
      </c>
      <c r="C70" s="11">
        <f>ROUND(B70/12*$O$2,2)</f>
        <v>750</v>
      </c>
      <c r="D70" s="4">
        <f>0</f>
        <v>0</v>
      </c>
      <c r="E70" s="12">
        <f t="shared" si="5"/>
        <v>0</v>
      </c>
      <c r="F70" s="12">
        <f>ROUND(D70/B70*100,3)</f>
        <v>0</v>
      </c>
    </row>
    <row r="71" spans="1:6" ht="12.75">
      <c r="A71" t="s">
        <v>53</v>
      </c>
      <c r="B71" s="4">
        <v>4250</v>
      </c>
      <c r="C71" s="11">
        <f t="shared" si="3"/>
        <v>3187.5</v>
      </c>
      <c r="D71" s="4">
        <f>0+104+120+120+104+104</f>
        <v>552</v>
      </c>
      <c r="E71" s="12">
        <f t="shared" si="5"/>
        <v>17.318</v>
      </c>
      <c r="F71" s="12">
        <f t="shared" si="6"/>
        <v>12.988</v>
      </c>
    </row>
    <row r="72" spans="1:6" ht="12.75">
      <c r="A72" t="s">
        <v>137</v>
      </c>
      <c r="B72" s="4">
        <v>13250</v>
      </c>
      <c r="C72" s="11">
        <f>ROUND(B72/12*$O$2,2)</f>
        <v>9937.5</v>
      </c>
      <c r="D72" s="4">
        <f>1410+2330+1941+2679+3375+1654+5621.58+2975</f>
        <v>21985.58</v>
      </c>
      <c r="E72" s="12">
        <f t="shared" si="5"/>
        <v>221.239</v>
      </c>
      <c r="F72" s="12">
        <f>ROUND(D72/B72*100,3)</f>
        <v>165.929</v>
      </c>
    </row>
    <row r="73" spans="1:6" ht="12.75">
      <c r="A73" t="s">
        <v>54</v>
      </c>
      <c r="B73" s="4">
        <v>5000</v>
      </c>
      <c r="C73" s="11">
        <f t="shared" si="3"/>
        <v>3750</v>
      </c>
      <c r="D73" s="4">
        <f>0+833</f>
        <v>833</v>
      </c>
      <c r="E73" s="12">
        <f t="shared" si="5"/>
        <v>22.213</v>
      </c>
      <c r="F73" s="12">
        <f t="shared" si="6"/>
        <v>16.66</v>
      </c>
    </row>
    <row r="80" spans="1:6" ht="12.75">
      <c r="A80" s="21" t="s">
        <v>12</v>
      </c>
      <c r="B80" s="21"/>
      <c r="C80" s="21"/>
      <c r="D80" s="21"/>
      <c r="E80" s="21"/>
      <c r="F80" s="21"/>
    </row>
    <row r="81" spans="1:6" ht="12.75">
      <c r="A81" s="21" t="s">
        <v>24</v>
      </c>
      <c r="B81" s="21"/>
      <c r="C81" s="21"/>
      <c r="D81" s="21"/>
      <c r="E81" s="21"/>
      <c r="F81" s="21"/>
    </row>
    <row r="82" spans="1:6" ht="12.75">
      <c r="A82" s="22" t="str">
        <f>+A3</f>
        <v>September 30, 2022</v>
      </c>
      <c r="B82" s="21"/>
      <c r="C82" s="21"/>
      <c r="D82" s="21"/>
      <c r="E82" s="21"/>
      <c r="F82" s="21"/>
    </row>
    <row r="83" spans="1:6" ht="12.75">
      <c r="A83" s="8"/>
      <c r="B83" s="2"/>
      <c r="C83" s="2"/>
      <c r="D83" s="2"/>
      <c r="E83" s="2" t="s">
        <v>15</v>
      </c>
      <c r="F83" s="2"/>
    </row>
    <row r="84" spans="1:6" ht="12.75">
      <c r="A84" s="8"/>
      <c r="B84" s="2"/>
      <c r="C84" s="2"/>
      <c r="D84" s="2"/>
      <c r="E84" s="2"/>
      <c r="F84" s="2"/>
    </row>
    <row r="85" ht="12.75">
      <c r="F85" s="2" t="s">
        <v>20</v>
      </c>
    </row>
    <row r="86" spans="2:6" ht="12.75">
      <c r="B86" s="3" t="s">
        <v>77</v>
      </c>
      <c r="E86" s="2" t="s">
        <v>20</v>
      </c>
      <c r="F86" s="2" t="s">
        <v>22</v>
      </c>
    </row>
    <row r="87" spans="2:6" ht="12.75">
      <c r="B87" s="2" t="s">
        <v>19</v>
      </c>
      <c r="C87" s="21" t="s">
        <v>7</v>
      </c>
      <c r="D87" s="21"/>
      <c r="E87" s="2" t="s">
        <v>21</v>
      </c>
      <c r="F87" s="2" t="s">
        <v>6</v>
      </c>
    </row>
    <row r="88" spans="1:6" ht="12.75">
      <c r="A88" s="2" t="s">
        <v>17</v>
      </c>
      <c r="B88" s="2" t="s">
        <v>18</v>
      </c>
      <c r="C88" s="2" t="s">
        <v>18</v>
      </c>
      <c r="D88" s="2" t="s">
        <v>2</v>
      </c>
      <c r="E88" s="2" t="s">
        <v>18</v>
      </c>
      <c r="F88" s="2" t="s">
        <v>18</v>
      </c>
    </row>
    <row r="89" ht="12.75">
      <c r="A89" s="2"/>
    </row>
    <row r="90" ht="12.75">
      <c r="A90" s="1" t="s">
        <v>139</v>
      </c>
    </row>
    <row r="91" spans="1:6" ht="12.75">
      <c r="A91" t="s">
        <v>55</v>
      </c>
      <c r="B91" s="4">
        <v>3000</v>
      </c>
      <c r="C91" s="11">
        <f aca="true" t="shared" si="8" ref="C91:C108">ROUND(B91/12*$O$2,2)</f>
        <v>2250</v>
      </c>
      <c r="D91" s="4">
        <f>100+191.67+1100+489.66+235+155+205+110+155</f>
        <v>2741.33</v>
      </c>
      <c r="E91" s="12">
        <f aca="true" t="shared" si="9" ref="E91:E108">ROUND(D91/C91*100,3)</f>
        <v>121.837</v>
      </c>
      <c r="F91" s="12">
        <f aca="true" t="shared" si="10" ref="F91:F108">ROUND(D91/B91*100,3)</f>
        <v>91.378</v>
      </c>
    </row>
    <row r="92" spans="1:6" ht="12.75">
      <c r="A92" t="s">
        <v>128</v>
      </c>
      <c r="B92" s="4">
        <v>2400</v>
      </c>
      <c r="C92" s="11">
        <f t="shared" si="8"/>
        <v>1800</v>
      </c>
      <c r="D92" s="4">
        <f>0+200+3000</f>
        <v>3200</v>
      </c>
      <c r="E92" s="12">
        <f t="shared" si="9"/>
        <v>177.778</v>
      </c>
      <c r="F92" s="12">
        <f t="shared" si="10"/>
        <v>133.333</v>
      </c>
    </row>
    <row r="93" spans="1:6" ht="12.75">
      <c r="A93" t="s">
        <v>129</v>
      </c>
      <c r="B93" s="4">
        <v>5000</v>
      </c>
      <c r="C93" s="11">
        <f t="shared" si="8"/>
        <v>3750</v>
      </c>
      <c r="D93" s="4">
        <f>0</f>
        <v>0</v>
      </c>
      <c r="E93" s="12">
        <f t="shared" si="9"/>
        <v>0</v>
      </c>
      <c r="F93" s="12">
        <f t="shared" si="10"/>
        <v>0</v>
      </c>
    </row>
    <row r="94" spans="1:6" ht="12.75">
      <c r="A94" t="s">
        <v>130</v>
      </c>
      <c r="B94" s="4">
        <v>1000</v>
      </c>
      <c r="C94" s="11">
        <f t="shared" si="8"/>
        <v>750</v>
      </c>
      <c r="D94" s="4">
        <f>0</f>
        <v>0</v>
      </c>
      <c r="E94" s="12">
        <f t="shared" si="9"/>
        <v>0</v>
      </c>
      <c r="F94" s="12">
        <f t="shared" si="10"/>
        <v>0</v>
      </c>
    </row>
    <row r="95" spans="1:6" ht="12.75">
      <c r="A95" t="s">
        <v>131</v>
      </c>
      <c r="B95" s="4">
        <v>1000</v>
      </c>
      <c r="C95" s="11">
        <f t="shared" si="8"/>
        <v>750</v>
      </c>
      <c r="D95" s="4">
        <f>0+500</f>
        <v>500</v>
      </c>
      <c r="E95" s="12">
        <f t="shared" si="9"/>
        <v>66.667</v>
      </c>
      <c r="F95" s="12">
        <f t="shared" si="10"/>
        <v>50</v>
      </c>
    </row>
    <row r="96" spans="1:6" ht="12.75">
      <c r="A96" t="s">
        <v>132</v>
      </c>
      <c r="B96" s="4">
        <v>2000</v>
      </c>
      <c r="C96" s="11">
        <f t="shared" si="8"/>
        <v>1500</v>
      </c>
      <c r="D96" s="4">
        <f>100+146.66+140+556.67+300+110+1110+110+110</f>
        <v>2683.33</v>
      </c>
      <c r="E96" s="12">
        <f t="shared" si="9"/>
        <v>178.889</v>
      </c>
      <c r="F96" s="12">
        <f t="shared" si="10"/>
        <v>134.167</v>
      </c>
    </row>
    <row r="97" spans="1:6" ht="12.75">
      <c r="A97" t="s">
        <v>133</v>
      </c>
      <c r="B97" s="4">
        <v>2400</v>
      </c>
      <c r="C97" s="11">
        <f t="shared" si="8"/>
        <v>1800</v>
      </c>
      <c r="D97" s="4">
        <f>0+3000</f>
        <v>3000</v>
      </c>
      <c r="E97" s="12">
        <f t="shared" si="9"/>
        <v>166.667</v>
      </c>
      <c r="F97" s="12">
        <f t="shared" si="10"/>
        <v>125</v>
      </c>
    </row>
    <row r="98" spans="1:6" ht="12.75">
      <c r="A98" t="s">
        <v>134</v>
      </c>
      <c r="B98" s="4">
        <v>5000</v>
      </c>
      <c r="C98" s="11">
        <f t="shared" si="8"/>
        <v>3750</v>
      </c>
      <c r="D98" s="4">
        <v>1578</v>
      </c>
      <c r="E98" s="12">
        <f t="shared" si="9"/>
        <v>42.08</v>
      </c>
      <c r="F98" s="12">
        <f t="shared" si="10"/>
        <v>31.56</v>
      </c>
    </row>
    <row r="99" spans="1:6" ht="12.75">
      <c r="A99" t="s">
        <v>135</v>
      </c>
      <c r="B99" s="4">
        <v>1000</v>
      </c>
      <c r="C99" s="11">
        <f t="shared" si="8"/>
        <v>750</v>
      </c>
      <c r="D99" s="4">
        <f>25</f>
        <v>25</v>
      </c>
      <c r="E99" s="12">
        <f t="shared" si="9"/>
        <v>3.333</v>
      </c>
      <c r="F99" s="12">
        <f t="shared" si="10"/>
        <v>2.5</v>
      </c>
    </row>
    <row r="100" spans="1:6" ht="12.75">
      <c r="A100" t="s">
        <v>136</v>
      </c>
      <c r="B100" s="4">
        <v>1000</v>
      </c>
      <c r="C100" s="11">
        <f t="shared" si="8"/>
        <v>750</v>
      </c>
      <c r="D100" s="4">
        <f>0</f>
        <v>0</v>
      </c>
      <c r="E100" s="12">
        <f t="shared" si="9"/>
        <v>0</v>
      </c>
      <c r="F100" s="12">
        <f t="shared" si="10"/>
        <v>0</v>
      </c>
    </row>
    <row r="101" spans="1:6" ht="12.75">
      <c r="A101" t="s">
        <v>57</v>
      </c>
      <c r="B101" s="4">
        <v>21109.05</v>
      </c>
      <c r="C101" s="11">
        <f t="shared" si="8"/>
        <v>15831.79</v>
      </c>
      <c r="D101" s="4">
        <f>150+810+950+345+840+680+630+825+700</f>
        <v>5930</v>
      </c>
      <c r="E101" s="12">
        <f t="shared" si="9"/>
        <v>37.456</v>
      </c>
      <c r="F101" s="12">
        <f t="shared" si="10"/>
        <v>28.092</v>
      </c>
    </row>
    <row r="102" spans="1:6" ht="12.75">
      <c r="A102" t="s">
        <v>66</v>
      </c>
      <c r="B102" s="4">
        <v>3979.31</v>
      </c>
      <c r="C102" s="11">
        <f t="shared" si="8"/>
        <v>2984.48</v>
      </c>
      <c r="D102" s="4">
        <f>125+450+1465+1193.75+368.75+625+336+325+625</f>
        <v>5513.5</v>
      </c>
      <c r="E102" s="12">
        <f t="shared" si="9"/>
        <v>184.739</v>
      </c>
      <c r="F102" s="12">
        <f t="shared" si="10"/>
        <v>138.554</v>
      </c>
    </row>
    <row r="103" spans="1:6" ht="12.75">
      <c r="A103" t="s">
        <v>73</v>
      </c>
      <c r="B103" s="4">
        <v>66897.76</v>
      </c>
      <c r="C103" s="11">
        <f t="shared" si="8"/>
        <v>50173.32</v>
      </c>
      <c r="D103" s="4">
        <f>2320+2298+3091+7899+4739.5+4337+2980+3981+8075</f>
        <v>39720.5</v>
      </c>
      <c r="E103" s="12">
        <f t="shared" si="9"/>
        <v>79.167</v>
      </c>
      <c r="F103" s="12">
        <f t="shared" si="10"/>
        <v>59.375</v>
      </c>
    </row>
    <row r="104" spans="1:6" ht="12.75">
      <c r="A104" s="18" t="s">
        <v>142</v>
      </c>
      <c r="B104" s="17" t="s">
        <v>69</v>
      </c>
      <c r="C104" s="17" t="s">
        <v>69</v>
      </c>
      <c r="D104" s="4">
        <f>1986</f>
        <v>1986</v>
      </c>
      <c r="E104" s="17" t="s">
        <v>69</v>
      </c>
      <c r="F104" s="17" t="s">
        <v>69</v>
      </c>
    </row>
    <row r="105" spans="1:6" ht="12.75">
      <c r="A105" t="s">
        <v>58</v>
      </c>
      <c r="B105" s="11">
        <v>9863.7</v>
      </c>
      <c r="C105" s="11">
        <f t="shared" si="8"/>
        <v>7397.78</v>
      </c>
      <c r="D105" s="4">
        <f>400+670+240+1500+665+420+805+1690+450</f>
        <v>6840</v>
      </c>
      <c r="E105" s="12">
        <f t="shared" si="9"/>
        <v>92.46</v>
      </c>
      <c r="F105" s="12">
        <f t="shared" si="10"/>
        <v>69.345</v>
      </c>
    </row>
    <row r="106" spans="1:6" ht="12.75">
      <c r="A106" t="s">
        <v>117</v>
      </c>
      <c r="B106" s="4">
        <v>22000</v>
      </c>
      <c r="C106" s="11">
        <f t="shared" si="8"/>
        <v>16500</v>
      </c>
      <c r="D106" s="4">
        <f>2060+2555+2996+5234+5182+2493+3806+2819+2364.5</f>
        <v>29509.5</v>
      </c>
      <c r="E106" s="12">
        <f t="shared" si="9"/>
        <v>178.845</v>
      </c>
      <c r="F106" s="12">
        <f t="shared" si="10"/>
        <v>134.134</v>
      </c>
    </row>
    <row r="107" spans="1:6" ht="12.75">
      <c r="A107" s="16" t="s">
        <v>59</v>
      </c>
      <c r="B107" s="4">
        <v>7843.5</v>
      </c>
      <c r="C107" s="11">
        <f t="shared" si="8"/>
        <v>5882.63</v>
      </c>
      <c r="D107" s="4">
        <f>765+415+265+1765+275+600</f>
        <v>4085</v>
      </c>
      <c r="E107" s="12">
        <f t="shared" si="9"/>
        <v>69.442</v>
      </c>
      <c r="F107" s="12">
        <f t="shared" si="10"/>
        <v>52.081</v>
      </c>
    </row>
    <row r="108" spans="1:6" ht="12.75">
      <c r="A108" t="s">
        <v>56</v>
      </c>
      <c r="B108" s="4">
        <v>111992.75</v>
      </c>
      <c r="C108" s="11">
        <f t="shared" si="8"/>
        <v>83994.56</v>
      </c>
      <c r="D108" s="4">
        <f>2833+5776+6924.75+9552+7887+5753+24874.14+7912+10652.58</f>
        <v>82164.47</v>
      </c>
      <c r="E108" s="12">
        <f t="shared" si="9"/>
        <v>97.821</v>
      </c>
      <c r="F108" s="12">
        <f t="shared" si="10"/>
        <v>73.366</v>
      </c>
    </row>
    <row r="109" spans="1:6" ht="12.75">
      <c r="A109" s="16"/>
      <c r="B109" s="13"/>
      <c r="C109" s="13"/>
      <c r="D109" s="13"/>
      <c r="E109" s="12"/>
      <c r="F109" s="12"/>
    </row>
    <row r="110" spans="1:6" ht="12.75">
      <c r="A110" t="s">
        <v>64</v>
      </c>
      <c r="B110" s="13">
        <f>SUM(B12:B108)</f>
        <v>1356886.07</v>
      </c>
      <c r="C110" s="13">
        <f>SUM(C12:C108)</f>
        <v>1017664.56</v>
      </c>
      <c r="D110" s="13">
        <f>SUM(D12:D108)</f>
        <v>574250.0700000001</v>
      </c>
      <c r="E110" s="12">
        <f>ROUND(D110/C110*100,3)</f>
        <v>56.428</v>
      </c>
      <c r="F110" s="12">
        <f>ROUND(D110/B110*100,3)</f>
        <v>42.321</v>
      </c>
    </row>
    <row r="111" ht="12.75">
      <c r="A111" s="2"/>
    </row>
    <row r="112" spans="1:6" ht="12.75">
      <c r="A112" s="1" t="s">
        <v>33</v>
      </c>
      <c r="B112" s="4"/>
      <c r="C112" s="11"/>
      <c r="D112" s="4"/>
      <c r="E112" s="12"/>
      <c r="F112" s="12"/>
    </row>
    <row r="113" spans="1:6" ht="12.75">
      <c r="A113" t="s">
        <v>34</v>
      </c>
      <c r="B113" s="13">
        <v>2500</v>
      </c>
      <c r="C113" s="10">
        <f>ROUND(B113/12*$O$2,2)</f>
        <v>1875</v>
      </c>
      <c r="D113" s="13">
        <f>0</f>
        <v>0</v>
      </c>
      <c r="E113" s="12">
        <f>ROUND(D113/C113*100,3)</f>
        <v>0</v>
      </c>
      <c r="F113" s="12">
        <f>ROUND(D113/B113*100,3)</f>
        <v>0</v>
      </c>
    </row>
    <row r="115" spans="1:6" ht="12.75">
      <c r="A115" s="1" t="s">
        <v>65</v>
      </c>
      <c r="B115" s="4"/>
      <c r="C115" s="11"/>
      <c r="D115" s="4"/>
      <c r="E115" s="12"/>
      <c r="F115" s="12"/>
    </row>
    <row r="116" spans="1:6" ht="12.75">
      <c r="A116" s="18" t="s">
        <v>138</v>
      </c>
      <c r="B116" s="13">
        <v>2500</v>
      </c>
      <c r="C116" s="10">
        <f>ROUND(B116/12*$O$2,2)</f>
        <v>1875</v>
      </c>
      <c r="D116" s="13">
        <f>0</f>
        <v>0</v>
      </c>
      <c r="E116" s="12">
        <f>ROUND(D116/C116*100,3)</f>
        <v>0</v>
      </c>
      <c r="F116" s="12">
        <f>ROUND(D116/B116*100,3)</f>
        <v>0</v>
      </c>
    </row>
    <row r="117" spans="1:6" ht="12.75">
      <c r="A117" s="16" t="s">
        <v>63</v>
      </c>
      <c r="B117" s="11">
        <v>25000</v>
      </c>
      <c r="C117" s="11">
        <f>ROUND(B117/12*$O$2,2)</f>
        <v>18750</v>
      </c>
      <c r="D117" s="4">
        <f>0+100</f>
        <v>100</v>
      </c>
      <c r="E117" s="12">
        <f>ROUND(D117/C117*100,3)</f>
        <v>0.533</v>
      </c>
      <c r="F117" s="12">
        <f>ROUND(D117/B117*100,3)</f>
        <v>0.4</v>
      </c>
    </row>
    <row r="118" spans="1:6" ht="12.75">
      <c r="A118" s="16"/>
      <c r="B118" s="11"/>
      <c r="C118" s="11"/>
      <c r="D118" s="4"/>
      <c r="E118" s="12"/>
      <c r="F118" s="12"/>
    </row>
    <row r="119" ht="12.75">
      <c r="A119" s="1" t="s">
        <v>61</v>
      </c>
    </row>
    <row r="120" spans="1:6" ht="12.75">
      <c r="A120" t="s">
        <v>62</v>
      </c>
      <c r="B120" s="13">
        <v>25000</v>
      </c>
      <c r="C120" s="10">
        <f>ROUND(B120/12*$O$2,2)</f>
        <v>18750</v>
      </c>
      <c r="D120" s="13">
        <f>0+76+60+60+120+60+60+60</f>
        <v>496</v>
      </c>
      <c r="E120" s="12">
        <f>ROUND(D120/C120*100,3)</f>
        <v>2.645</v>
      </c>
      <c r="F120" s="12">
        <f>ROUND(D120/B120*100,3)</f>
        <v>1.984</v>
      </c>
    </row>
    <row r="121" spans="1:6" ht="12.75">
      <c r="A121" s="16" t="s">
        <v>44</v>
      </c>
      <c r="B121" s="4"/>
      <c r="C121" s="11"/>
      <c r="D121" s="4"/>
      <c r="E121" s="12"/>
      <c r="F121" s="12"/>
    </row>
    <row r="122" spans="1:6" ht="12.75">
      <c r="A122" s="1" t="s">
        <v>60</v>
      </c>
      <c r="B122" s="13"/>
      <c r="C122" s="10"/>
      <c r="D122" s="13"/>
      <c r="E122" s="12"/>
      <c r="F122" s="12"/>
    </row>
    <row r="123" spans="1:6" ht="12.75">
      <c r="A123" s="16" t="s">
        <v>67</v>
      </c>
      <c r="B123" s="13">
        <v>20000</v>
      </c>
      <c r="C123" s="10">
        <f>ROUND(B123/12*$O$2,2)</f>
        <v>15000</v>
      </c>
      <c r="D123" s="13">
        <f>600+450+1102.75+874.95+824.95+805.95+949.95+824.95+2224.95</f>
        <v>8658.449999999999</v>
      </c>
      <c r="E123" s="12">
        <f>ROUND(D123/C123*100,3)</f>
        <v>57.723</v>
      </c>
      <c r="F123" s="12">
        <f>ROUND(D123/B123*100,3)</f>
        <v>43.292</v>
      </c>
    </row>
    <row r="124" spans="1:6" ht="12.75">
      <c r="A124" t="s">
        <v>68</v>
      </c>
      <c r="B124" s="11">
        <v>20000</v>
      </c>
      <c r="C124" s="11">
        <f>ROUND(B124/12*$O$2,2)</f>
        <v>15000</v>
      </c>
      <c r="D124" s="4">
        <f>0+100</f>
        <v>100</v>
      </c>
      <c r="E124" s="12">
        <f>ROUND(D124/C124*100,3)</f>
        <v>0.667</v>
      </c>
      <c r="F124" s="12">
        <f>ROUND(D124/B124*100,3)</f>
        <v>0.5</v>
      </c>
    </row>
    <row r="125" spans="1:6" ht="12.75">
      <c r="A125" t="s">
        <v>35</v>
      </c>
      <c r="B125" s="11">
        <v>1000</v>
      </c>
      <c r="C125" s="11">
        <f>ROUND(B125/12*$O$2,2)</f>
        <v>750</v>
      </c>
      <c r="D125" s="4">
        <f>0+358.21</f>
        <v>358.21</v>
      </c>
      <c r="E125" s="12">
        <f>ROUND(D125/C125*100,3)</f>
        <v>47.761</v>
      </c>
      <c r="F125" s="12">
        <f>ROUND(D125/B125*100,3)</f>
        <v>35.821</v>
      </c>
    </row>
    <row r="126" spans="1:6" ht="12.75">
      <c r="A126" t="s">
        <v>25</v>
      </c>
      <c r="B126" s="11">
        <v>40000</v>
      </c>
      <c r="C126" s="11">
        <f>ROUND(B126/12*$O$2,2)</f>
        <v>30000</v>
      </c>
      <c r="D126" s="4">
        <f>100+725+735+2325+1285+825+200+1525+725</f>
        <v>8445</v>
      </c>
      <c r="E126" s="12">
        <f>ROUND(D126/C126*100,3)</f>
        <v>28.15</v>
      </c>
      <c r="F126" s="12">
        <f>ROUND(D126/B126*100,3)</f>
        <v>21.113</v>
      </c>
    </row>
    <row r="129" spans="1:6" ht="12.75">
      <c r="A129" s="15" t="s">
        <v>70</v>
      </c>
      <c r="B129" s="13">
        <f>B110+SUM(B113:B126)</f>
        <v>1492886.07</v>
      </c>
      <c r="C129" s="13">
        <f>C110+SUM(C113:C126)</f>
        <v>1119664.56</v>
      </c>
      <c r="D129" s="13">
        <f>D110+SUM(D113:D126)</f>
        <v>592407.7300000001</v>
      </c>
      <c r="E129" s="12">
        <f>ROUND(D129/C129*100,3)</f>
        <v>52.909</v>
      </c>
      <c r="F129" s="12">
        <f>ROUND(D129/B129*100,3)</f>
        <v>39.682</v>
      </c>
    </row>
    <row r="130" spans="2:6" ht="12.75">
      <c r="B130" s="4"/>
      <c r="C130" s="11"/>
      <c r="D130" s="4"/>
      <c r="E130" s="12"/>
      <c r="F130" s="12"/>
    </row>
    <row r="131" spans="1:6" ht="12.75">
      <c r="A131" t="s">
        <v>43</v>
      </c>
      <c r="B131" s="19">
        <v>0</v>
      </c>
      <c r="C131" s="19">
        <v>0</v>
      </c>
      <c r="D131" s="13">
        <f>1850+661+625+148+625</f>
        <v>3909</v>
      </c>
      <c r="E131" s="17" t="s">
        <v>69</v>
      </c>
      <c r="F131" s="17" t="s">
        <v>69</v>
      </c>
    </row>
    <row r="132" spans="1:6" ht="12.75">
      <c r="A132" t="s">
        <v>76</v>
      </c>
      <c r="B132" s="11">
        <v>10000</v>
      </c>
      <c r="C132" s="20">
        <f>IF(O2=11,B132,0)</f>
        <v>0</v>
      </c>
      <c r="D132" s="4">
        <f>0</f>
        <v>0</v>
      </c>
      <c r="E132" s="17" t="s">
        <v>69</v>
      </c>
      <c r="F132" s="17" t="s">
        <v>69</v>
      </c>
    </row>
    <row r="133" spans="2:6" ht="12.75">
      <c r="B133" s="17"/>
      <c r="C133" s="17"/>
      <c r="D133" s="4"/>
      <c r="E133" s="17"/>
      <c r="F133" s="17"/>
    </row>
    <row r="134" spans="1:6" ht="12.75">
      <c r="A134" s="1" t="s">
        <v>14</v>
      </c>
      <c r="B134" s="13">
        <f>B129+B131+B132</f>
        <v>1502886.07</v>
      </c>
      <c r="C134" s="13">
        <f>C129</f>
        <v>1119664.56</v>
      </c>
      <c r="D134" s="13">
        <f>D129+D131+D132</f>
        <v>596316.7300000001</v>
      </c>
      <c r="E134" s="12">
        <f>ROUND(D134/C134*100,3)</f>
        <v>53.259</v>
      </c>
      <c r="F134" s="12">
        <f>ROUND(D134/B134*100,3)</f>
        <v>39.678</v>
      </c>
    </row>
    <row r="135" spans="2:6" ht="12.75">
      <c r="B135" s="4"/>
      <c r="C135" s="11"/>
      <c r="D135" s="4"/>
      <c r="E135" s="12"/>
      <c r="F135" s="12"/>
    </row>
    <row r="136" spans="2:6" ht="12.75">
      <c r="B136" s="4"/>
      <c r="C136" s="11"/>
      <c r="D136" s="4"/>
      <c r="E136" s="12"/>
      <c r="F136" s="12"/>
    </row>
    <row r="137" spans="2:6" ht="12.75">
      <c r="B137" s="4"/>
      <c r="C137" s="11"/>
      <c r="D137" s="4"/>
      <c r="E137" s="12"/>
      <c r="F137" s="12"/>
    </row>
    <row r="138" spans="2:6" ht="12.75">
      <c r="B138" s="4"/>
      <c r="C138" s="11"/>
      <c r="D138" s="4"/>
      <c r="E138" s="12"/>
      <c r="F138" s="12"/>
    </row>
    <row r="140" spans="2:6" ht="12.75">
      <c r="B140" s="13"/>
      <c r="C140" s="13"/>
      <c r="D140" s="13"/>
      <c r="E140" s="12"/>
      <c r="F140" s="12"/>
    </row>
    <row r="142" ht="12.75">
      <c r="A142" s="1"/>
    </row>
    <row r="143" spans="2:6" ht="12.75">
      <c r="B143" s="10"/>
      <c r="C143" s="10"/>
      <c r="D143" s="10"/>
      <c r="E143" s="12"/>
      <c r="F143" s="12"/>
    </row>
    <row r="144" spans="2:6" ht="12.75">
      <c r="B144" s="4"/>
      <c r="C144" s="11"/>
      <c r="D144" s="4"/>
      <c r="E144" s="12"/>
      <c r="F144" s="12"/>
    </row>
    <row r="145" spans="2:6" ht="12.75">
      <c r="B145" s="4"/>
      <c r="C145" s="11"/>
      <c r="D145" s="4"/>
      <c r="E145" s="12"/>
      <c r="F145" s="12"/>
    </row>
    <row r="146" spans="2:6" ht="12.75">
      <c r="B146" s="4"/>
      <c r="C146" s="11"/>
      <c r="D146" s="4"/>
      <c r="E146" s="12"/>
      <c r="F146" s="12"/>
    </row>
    <row r="147" spans="2:6" ht="12.75">
      <c r="B147" s="4"/>
      <c r="C147" s="11"/>
      <c r="D147" s="4"/>
      <c r="E147" s="12"/>
      <c r="F147" s="12"/>
    </row>
    <row r="148" spans="2:6" ht="12.75">
      <c r="B148" s="4"/>
      <c r="C148" s="11"/>
      <c r="D148" s="4"/>
      <c r="E148" s="12"/>
      <c r="F148" s="12"/>
    </row>
    <row r="149" spans="2:6" ht="12.75">
      <c r="B149" s="4"/>
      <c r="C149" s="11"/>
      <c r="D149" s="4"/>
      <c r="E149" s="12"/>
      <c r="F149" s="12"/>
    </row>
    <row r="151" spans="2:6" ht="12.75">
      <c r="B151" s="13"/>
      <c r="C151" s="13"/>
      <c r="D151" s="13"/>
      <c r="E151" s="12"/>
      <c r="F151" s="12"/>
    </row>
  </sheetData>
  <sheetProtection/>
  <mergeCells count="8">
    <mergeCell ref="A82:F82"/>
    <mergeCell ref="C87:D87"/>
    <mergeCell ref="C8:D8"/>
    <mergeCell ref="A1:F1"/>
    <mergeCell ref="A2:F2"/>
    <mergeCell ref="A3:F3"/>
    <mergeCell ref="A80:F80"/>
    <mergeCell ref="A81:F81"/>
  </mergeCells>
  <printOptions horizontalCentered="1" verticalCentered="1"/>
  <pageMargins left="0.5" right="0.1" top="0.15" bottom="0.15" header="0" footer="0"/>
  <pageSetup horizontalDpi="600" verticalDpi="600" orientation="portrait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Stephenson</dc:creator>
  <cp:keywords/>
  <dc:description/>
  <cp:lastModifiedBy>Bob Stephenson</cp:lastModifiedBy>
  <cp:lastPrinted>2022-09-15T16:08:34Z</cp:lastPrinted>
  <dcterms:created xsi:type="dcterms:W3CDTF">2000-02-07T17:10:17Z</dcterms:created>
  <dcterms:modified xsi:type="dcterms:W3CDTF">2022-10-13T20:46:13Z</dcterms:modified>
  <cp:category/>
  <cp:version/>
  <cp:contentType/>
  <cp:contentStatus/>
</cp:coreProperties>
</file>